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75" windowWidth="14820" windowHeight="7845" tabRatio="894" activeTab="4"/>
  </bookViews>
  <sheets>
    <sheet name="TH" sheetId="34" r:id="rId1"/>
    <sheet name="CTTK" sheetId="47" r:id="rId2"/>
    <sheet name="IN-TC" sheetId="39" r:id="rId3"/>
    <sheet name="111" sheetId="42" r:id="rId4"/>
    <sheet name="331" sheetId="12" r:id="rId5"/>
    <sheet name="331-CT" sheetId="14" r:id="rId6"/>
    <sheet name="Sheet1" sheetId="48" r:id="rId7"/>
    <sheet name="Sheet1 (2)" sheetId="49" r:id="rId8"/>
  </sheets>
  <externalReferences>
    <externalReference r:id="rId9"/>
    <externalReference r:id="rId10"/>
  </externalReferences>
  <definedNames>
    <definedName name="_C111">TH!$S$12:$S$2551</definedName>
    <definedName name="_C112" localSheetId="7">TH!#REF!</definedName>
    <definedName name="_C112">TH!#REF!</definedName>
    <definedName name="_Fill" localSheetId="1" hidden="1">#REF!</definedName>
    <definedName name="_Fill" localSheetId="7" hidden="1">#REF!</definedName>
    <definedName name="_Fill" hidden="1">#REF!</definedName>
    <definedName name="_xlnm._FilterDatabase" localSheetId="3" hidden="1">'111'!$A$12:$J$197</definedName>
    <definedName name="_xlnm._FilterDatabase" localSheetId="5" hidden="1">'331-CT'!$A$9:$I$22</definedName>
    <definedName name="_xlnm._FilterDatabase" localSheetId="1" hidden="1">CTTK!$A$13:$J$15</definedName>
    <definedName name="_xlnm._FilterDatabase" localSheetId="0" hidden="1">TH!$A$9:$S$2430</definedName>
    <definedName name="_N111">TH!$R$12:$R$2551</definedName>
    <definedName name="_N112" localSheetId="7">TH!#REF!</definedName>
    <definedName name="_N112">TH!#REF!</definedName>
    <definedName name="_TH">TH!$K$12:$K$2551</definedName>
    <definedName name="DG">TH!$J$12:$J$2551</definedName>
    <definedName name="Dong">IF(Loai="x",ROW(Loai)-1,"")</definedName>
    <definedName name="Dong1" localSheetId="7">IF(!Loai1="x",ROW([0]!Loai1)-1,"")</definedName>
    <definedName name="Dong1">IF(!Loai1="x",ROW(Loai1)-1,"")</definedName>
    <definedName name="Dong10" localSheetId="7">IF(!Loai7="x",ROW('Sheet1 (2)'!Loai7)-1,"")</definedName>
    <definedName name="Dong10">IF(!Loai7="x",ROW('Sheet1 (2)'!Loai7)-1,"")</definedName>
    <definedName name="Dong11" localSheetId="7">IF(!Loai8="x",ROW('Sheet1 (2)'!Loai8)-1,"")</definedName>
    <definedName name="Dong11">IF(!Loai8="x",ROW('Sheet1 (2)'!Loai8)-1,"")</definedName>
    <definedName name="Dong12" localSheetId="7">IF(!Loai9="x",ROW('Sheet1 (2)'!Loai9)-1,"")</definedName>
    <definedName name="Dong12">IF(!Loai9="x",ROW('Sheet1 (2)'!Loai9)-1,"")</definedName>
    <definedName name="Dong13" localSheetId="7">IF(!Loai10="x",ROW('Sheet1 (2)'!Loai10)-1,"")</definedName>
    <definedName name="Dong13">IF(!Loai10="x",ROW('Sheet1 (2)'!Loai10)-1,"")</definedName>
    <definedName name="Dong14" localSheetId="7">IF(!Loai11="x",ROW('Sheet1 (2)'!Loai11)-1,"")</definedName>
    <definedName name="Dong14">IF(!Loai11="x",ROW('Sheet1 (2)'!Loai11)-1,"")</definedName>
    <definedName name="Dong2" localSheetId="7">IF(!Loai2="x",ROW('Sheet1 (2)'!Loai2)-1,"")</definedName>
    <definedName name="Dong2">IF(!Loai2="x",ROW('Sheet1 (2)'!Loai2)-1,"")</definedName>
    <definedName name="Dong3" localSheetId="7">IF(!Loai3="x",ROW('Sheet1 (2)'!Loai3)-1,"")</definedName>
    <definedName name="Dong3">IF(!Loai3="x",ROW('Sheet1 (2)'!Loai3)-1,"")</definedName>
    <definedName name="Dong4" localSheetId="7">IF(!Loai4="x",ROW('Sheet1 (2)'!Loai4)-1,"")</definedName>
    <definedName name="Dong4">IF(!Loai4="x",ROW('Sheet1 (2)'!Loai4)-1,"")</definedName>
    <definedName name="Dong5" localSheetId="7">IF(!Loai5="x",ROW('Sheet1 (2)'!Loai5)-1,"")</definedName>
    <definedName name="Dong5">IF(!Loai5="x",ROW('Sheet1 (2)'!Loai5)-1,"")</definedName>
    <definedName name="Dong6" localSheetId="7">IF(!Loai6="1",ROW('Sheet1 (2)'!Loai6)-1,"")</definedName>
    <definedName name="Dong6">IF(!Loai6="1",ROW('Sheet1 (2)'!Loai6)-1,"")</definedName>
    <definedName name="Dong7" localSheetId="7">IF(!Loai6="2",ROW('Sheet1 (2)'!Loai6)-1,"")</definedName>
    <definedName name="Dong7">IF(!Loai6="2",ROW('Sheet1 (2)'!Loai6)-1,"")</definedName>
    <definedName name="Dong8" localSheetId="7">IF(!Loai6="3",ROW('Sheet1 (2)'!Loai6)-1,"")</definedName>
    <definedName name="Dong8">IF(!Loai6="3",ROW('Sheet1 (2)'!Loai6)-1,"")</definedName>
    <definedName name="Dong9" localSheetId="7">IF(!Loai6="4",ROW('Sheet1 (2)'!Loai6)-1,"")</definedName>
    <definedName name="Dong9">IF(!Loai6="4",ROW('Sheet1 (2)'!Loai6)-1,"")</definedName>
    <definedName name="DS_131" localSheetId="7">#REF!</definedName>
    <definedName name="DS_131">#REF!</definedName>
    <definedName name="DSGT1" localSheetId="7">#REF!</definedName>
    <definedName name="DSGT1">#REF!</definedName>
    <definedName name="DSGT10" localSheetId="7">#REF!</definedName>
    <definedName name="DSGT10">#REF!</definedName>
    <definedName name="DSGT11" localSheetId="7">#REF!</definedName>
    <definedName name="DSGT11">#REF!</definedName>
    <definedName name="DSGT12" localSheetId="7">#REF!</definedName>
    <definedName name="DSGT12">#REF!</definedName>
    <definedName name="DSGT2" localSheetId="7">#REF!</definedName>
    <definedName name="DSGT2">#REF!</definedName>
    <definedName name="DSGT3" localSheetId="7">#REF!</definedName>
    <definedName name="DSGT3">#REF!</definedName>
    <definedName name="DSGT4" localSheetId="7">#REF!</definedName>
    <definedName name="DSGT4">#REF!</definedName>
    <definedName name="DSGT5" localSheetId="7">#REF!</definedName>
    <definedName name="DSGT5">#REF!</definedName>
    <definedName name="DSGT6" localSheetId="7">#REF!</definedName>
    <definedName name="DSGT6">#REF!</definedName>
    <definedName name="DSGT7" localSheetId="7">#REF!</definedName>
    <definedName name="DSGT7">#REF!</definedName>
    <definedName name="DSGT8" localSheetId="7">#REF!</definedName>
    <definedName name="DSGT8">#REF!</definedName>
    <definedName name="DSGT9" localSheetId="7">#REF!</definedName>
    <definedName name="DSGT9">#REF!</definedName>
    <definedName name="DSKH">'331'!$B$4:$B$36</definedName>
    <definedName name="DSKU" localSheetId="7">#REF!</definedName>
    <definedName name="DSKU">#REF!</definedName>
    <definedName name="DSNL" localSheetId="7">#REF!</definedName>
    <definedName name="DSNL">#REF!</definedName>
    <definedName name="DSSP1" localSheetId="7">#REF!</definedName>
    <definedName name="DSSP1">#REF!</definedName>
    <definedName name="DSSP10" localSheetId="7">#REF!</definedName>
    <definedName name="DSSP10">#REF!</definedName>
    <definedName name="DSSP11" localSheetId="7">#REF!</definedName>
    <definedName name="DSSP11">#REF!</definedName>
    <definedName name="DSSP12" localSheetId="7">#REF!</definedName>
    <definedName name="DSSP12">#REF!</definedName>
    <definedName name="DSSP2" localSheetId="7">#REF!</definedName>
    <definedName name="DSSP2">#REF!</definedName>
    <definedName name="DSSP3" localSheetId="7">#REF!</definedName>
    <definedName name="DSSP3">#REF!</definedName>
    <definedName name="DSSP4" localSheetId="7">#REF!</definedName>
    <definedName name="DSSP4">#REF!</definedName>
    <definedName name="DSSP5" localSheetId="7">#REF!</definedName>
    <definedName name="DSSP5">#REF!</definedName>
    <definedName name="DSSP6" localSheetId="7">#REF!</definedName>
    <definedName name="DSSP6">#REF!</definedName>
    <definedName name="DSSP7" localSheetId="7">#REF!</definedName>
    <definedName name="DSSP7">#REF!</definedName>
    <definedName name="DSSP8" localSheetId="7">#REF!</definedName>
    <definedName name="DSSP8">#REF!</definedName>
    <definedName name="DSSP9" localSheetId="7">#REF!</definedName>
    <definedName name="DSSP9">#REF!</definedName>
    <definedName name="DSTK" localSheetId="7">#REF!</definedName>
    <definedName name="DSTK">#REF!</definedName>
    <definedName name="DSTS1" localSheetId="7">#REF!</definedName>
    <definedName name="DSTS1">#REF!</definedName>
    <definedName name="DSTS2" localSheetId="7">#REF!</definedName>
    <definedName name="DSTS2">#REF!</definedName>
    <definedName name="KH">TH!$H$12:$H$2551</definedName>
    <definedName name="KHC">TH!$O$12:$O$2551</definedName>
    <definedName name="KHN">TH!$N$12:$N$2551</definedName>
    <definedName name="Loai">OFFSET(TH!$P$5,,,COUNTA(TH!$P$5:$P$40861))</definedName>
    <definedName name="Loai1">OFFSET(TH!$Q$5,,,COUNTA(TH!$Q$5:$Q$40861))</definedName>
    <definedName name="Loai10" localSheetId="7">OFFSET(TH!#REF!,,,COUNTA(TH!#REF!))</definedName>
    <definedName name="Loai10">OFFSET(TH!#REF!,,,COUNTA(TH!#REF!))</definedName>
    <definedName name="Loai11" localSheetId="7">OFFSET(TH!#REF!,,,COUNTA(TH!#REF!))</definedName>
    <definedName name="Loai11">OFFSET(TH!#REF!,,,COUNTA(TH!#REF!))</definedName>
    <definedName name="Loai2" localSheetId="7">OFFSET(TH!#REF!,,,COUNTA(TH!#REF!))</definedName>
    <definedName name="Loai2">OFFSET(TH!#REF!,,,COUNTA(TH!#REF!))</definedName>
    <definedName name="Loai3" localSheetId="7">OFFSET(#REF!,,,COUNTA(#REF!))</definedName>
    <definedName name="Loai3">OFFSET(#REF!,,,COUNTA(#REF!))</definedName>
    <definedName name="Loai4" localSheetId="7">OFFSET(TH!#REF!,,,COUNTA(TH!#REF!))</definedName>
    <definedName name="Loai4">OFFSET(TH!#REF!,,,COUNTA(TH!#REF!))</definedName>
    <definedName name="Loai5" localSheetId="7">OFFSET(TH!#REF!,,,COUNTA(TH!#REF!))</definedName>
    <definedName name="Loai5">OFFSET(TH!#REF!,,,COUNTA(TH!#REF!))</definedName>
    <definedName name="Loai6" localSheetId="7">OFFSET(TH!#REF!,,,COUNTA(TH!#REF!))</definedName>
    <definedName name="Loai6">OFFSET(TH!#REF!,,,COUNTA(TH!#REF!))</definedName>
    <definedName name="Loai7" localSheetId="7">OFFSET(TH!#REF!,,,COUNTA(TH!#REF!))</definedName>
    <definedName name="Loai7">OFFSET(TH!#REF!,,,COUNTA(TH!#REF!))</definedName>
    <definedName name="Loai8" localSheetId="7">OFFSET(TH!#REF!,,,COUNTA(TH!#REF!))</definedName>
    <definedName name="Loai8">OFFSET(TH!#REF!,,,COUNTA(TH!#REF!))</definedName>
    <definedName name="Loai9" localSheetId="7">OFFSET(TH!#REF!,,,COUNTA(TH!#REF!))</definedName>
    <definedName name="Loai9">OFFSET(TH!#REF!,,,COUNTA(TH!#REF!))</definedName>
    <definedName name="MH">TH!$F$12:$F$2551</definedName>
    <definedName name="NXT" localSheetId="7">#REF!</definedName>
    <definedName name="NXT">#REF!</definedName>
    <definedName name="_xlnm.Print_Area" localSheetId="3">'111'!$A$1:$J$210</definedName>
    <definedName name="_xlnm.Print_Area" localSheetId="4">'331'!$A$1:$H$37</definedName>
    <definedName name="_xlnm.Print_Area" localSheetId="5">'331-CT'!$A$1:$I$91</definedName>
    <definedName name="_xlnm.Print_Area" localSheetId="1">CTTK!$A$2:$I$65</definedName>
    <definedName name="_xlnm.Print_Area" localSheetId="2">'IN-TC'!$B$1:$O$28</definedName>
    <definedName name="_xlnm.Print_Titles" localSheetId="3">'111'!$10:$12</definedName>
    <definedName name="_xlnm.Print_Titles" localSheetId="5">'331-CT'!$7:$9</definedName>
    <definedName name="_xlnm.Print_Titles" localSheetId="1">CTTK!$11:$13</definedName>
    <definedName name="SL">TH!$I$12:$I$2551</definedName>
    <definedName name="TH">TH!$M$12:$M$2551</definedName>
    <definedName name="TM">TH!$A$12:$O$2551</definedName>
  </definedNames>
  <calcPr calcId="144525"/>
</workbook>
</file>

<file path=xl/calcChain.xml><?xml version="1.0" encoding="utf-8"?>
<calcChain xmlns="http://schemas.openxmlformats.org/spreadsheetml/2006/main">
  <c r="A13" i="14" l="1"/>
  <c r="B13" i="14"/>
  <c r="C13" i="14"/>
  <c r="D13" i="14"/>
  <c r="E13" i="14"/>
  <c r="F13" i="14"/>
  <c r="G13" i="14"/>
  <c r="H13" i="14"/>
  <c r="A14" i="14"/>
  <c r="B14" i="14"/>
  <c r="C14" i="14"/>
  <c r="D14" i="14"/>
  <c r="E14" i="14"/>
  <c r="F14" i="14"/>
  <c r="G14" i="14"/>
  <c r="H14" i="14"/>
  <c r="A15" i="14"/>
  <c r="B15" i="14"/>
  <c r="C15" i="14"/>
  <c r="D15" i="14"/>
  <c r="E15" i="14"/>
  <c r="F15" i="14"/>
  <c r="G15" i="14"/>
  <c r="H15" i="14"/>
  <c r="A16" i="14"/>
  <c r="B16" i="14"/>
  <c r="C16" i="14"/>
  <c r="D16" i="14"/>
  <c r="E16" i="14"/>
  <c r="F16" i="14"/>
  <c r="G16" i="14"/>
  <c r="H16" i="14"/>
  <c r="A17" i="14"/>
  <c r="B17" i="14"/>
  <c r="C17" i="14"/>
  <c r="D17" i="14"/>
  <c r="E17" i="14"/>
  <c r="F17" i="14"/>
  <c r="G17" i="14"/>
  <c r="H17" i="14"/>
  <c r="A18" i="14"/>
  <c r="B18" i="14"/>
  <c r="C18" i="14"/>
  <c r="D18" i="14"/>
  <c r="E18" i="14"/>
  <c r="F18" i="14"/>
  <c r="G18" i="14"/>
  <c r="H18" i="14"/>
  <c r="A19" i="14"/>
  <c r="B19" i="14"/>
  <c r="C19" i="14"/>
  <c r="D19" i="14"/>
  <c r="I19" i="14" s="1"/>
  <c r="E19" i="14"/>
  <c r="F19" i="14"/>
  <c r="G19" i="14"/>
  <c r="H19" i="14"/>
  <c r="A20" i="14"/>
  <c r="B20" i="14"/>
  <c r="C20" i="14"/>
  <c r="D20" i="14"/>
  <c r="I20" i="14" s="1"/>
  <c r="E20" i="14"/>
  <c r="F20" i="14"/>
  <c r="G20" i="14"/>
  <c r="H20" i="14"/>
  <c r="A21" i="14"/>
  <c r="B21" i="14"/>
  <c r="C21" i="14"/>
  <c r="D21" i="14"/>
  <c r="I21" i="14" s="1"/>
  <c r="E21" i="14"/>
  <c r="F21" i="14"/>
  <c r="G21" i="14"/>
  <c r="H21" i="14"/>
  <c r="A22" i="14"/>
  <c r="B22" i="14"/>
  <c r="C22" i="14"/>
  <c r="D22" i="14"/>
  <c r="I22" i="14" s="1"/>
  <c r="E22" i="14"/>
  <c r="F22" i="14"/>
  <c r="G22" i="14"/>
  <c r="H22" i="14"/>
  <c r="A23" i="14"/>
  <c r="B23" i="14"/>
  <c r="C23" i="14"/>
  <c r="D23" i="14"/>
  <c r="I23" i="14" s="1"/>
  <c r="E23" i="14"/>
  <c r="F23" i="14"/>
  <c r="G23" i="14"/>
  <c r="H23" i="14"/>
  <c r="A24" i="14"/>
  <c r="B24" i="14"/>
  <c r="C24" i="14"/>
  <c r="D24" i="14"/>
  <c r="I24" i="14" s="1"/>
  <c r="E24" i="14"/>
  <c r="F24" i="14"/>
  <c r="G24" i="14"/>
  <c r="H24" i="14"/>
  <c r="A25" i="14"/>
  <c r="B25" i="14"/>
  <c r="C25" i="14"/>
  <c r="D25" i="14"/>
  <c r="I25" i="14" s="1"/>
  <c r="E25" i="14"/>
  <c r="F25" i="14"/>
  <c r="G25" i="14"/>
  <c r="H25" i="14"/>
  <c r="A26" i="14"/>
  <c r="B26" i="14"/>
  <c r="C26" i="14"/>
  <c r="D26" i="14"/>
  <c r="I26" i="14" s="1"/>
  <c r="E26" i="14"/>
  <c r="F26" i="14"/>
  <c r="G26" i="14"/>
  <c r="H26" i="14"/>
  <c r="A27" i="14"/>
  <c r="B27" i="14"/>
  <c r="C27" i="14"/>
  <c r="D27" i="14"/>
  <c r="I27" i="14" s="1"/>
  <c r="E27" i="14"/>
  <c r="F27" i="14"/>
  <c r="G27" i="14"/>
  <c r="H27" i="14"/>
  <c r="A28" i="14"/>
  <c r="B28" i="14"/>
  <c r="C28" i="14"/>
  <c r="D28" i="14"/>
  <c r="I28" i="14" s="1"/>
  <c r="E28" i="14"/>
  <c r="F28" i="14"/>
  <c r="G28" i="14"/>
  <c r="H28" i="14"/>
  <c r="P2054" i="34" l="1"/>
  <c r="M2054" i="34"/>
  <c r="C2054" i="34"/>
  <c r="B2054" i="34" s="1"/>
  <c r="P2053" i="34"/>
  <c r="M2053" i="34"/>
  <c r="C2053" i="34"/>
  <c r="B2053" i="34" s="1"/>
  <c r="P2052" i="34"/>
  <c r="M2052" i="34"/>
  <c r="C2052" i="34"/>
  <c r="B2052" i="34" s="1"/>
  <c r="P2051" i="34"/>
  <c r="M2051" i="34"/>
  <c r="C2051" i="34"/>
  <c r="B2051" i="34" s="1"/>
  <c r="P2050" i="34"/>
  <c r="M2050" i="34"/>
  <c r="C2050" i="34"/>
  <c r="B2050" i="34" s="1"/>
  <c r="P2049" i="34"/>
  <c r="M2049" i="34"/>
  <c r="C2049" i="34"/>
  <c r="B2049" i="34" s="1"/>
  <c r="P2048" i="34"/>
  <c r="M2048" i="34"/>
  <c r="C2048" i="34"/>
  <c r="B2048" i="34" s="1"/>
  <c r="P2047" i="34"/>
  <c r="M2047" i="34"/>
  <c r="C2047" i="34"/>
  <c r="B2047" i="34" s="1"/>
  <c r="P2046" i="34"/>
  <c r="M2046" i="34"/>
  <c r="C2046" i="34"/>
  <c r="B2046" i="34" s="1"/>
  <c r="P2045" i="34"/>
  <c r="M2045" i="34"/>
  <c r="C2045" i="34"/>
  <c r="B2045" i="34" s="1"/>
  <c r="P2044" i="34"/>
  <c r="M2044" i="34"/>
  <c r="C2044" i="34"/>
  <c r="B2044" i="34" s="1"/>
  <c r="P2043" i="34"/>
  <c r="M2043" i="34"/>
  <c r="C2043" i="34"/>
  <c r="B2043" i="34" s="1"/>
  <c r="P2042" i="34"/>
  <c r="M2042" i="34"/>
  <c r="C2042" i="34"/>
  <c r="B2042" i="34" s="1"/>
  <c r="P2067" i="34"/>
  <c r="M2067" i="34"/>
  <c r="C2067" i="34"/>
  <c r="B2067" i="34" s="1"/>
  <c r="P2066" i="34"/>
  <c r="M2066" i="34"/>
  <c r="C2066" i="34"/>
  <c r="B2066" i="34" s="1"/>
  <c r="P2065" i="34"/>
  <c r="M2065" i="34"/>
  <c r="C2065" i="34"/>
  <c r="B2065" i="34" s="1"/>
  <c r="P2064" i="34"/>
  <c r="M2064" i="34"/>
  <c r="C2064" i="34"/>
  <c r="B2064" i="34" s="1"/>
  <c r="P2063" i="34"/>
  <c r="M2063" i="34"/>
  <c r="C2063" i="34"/>
  <c r="B2063" i="34" s="1"/>
  <c r="P2062" i="34"/>
  <c r="M2062" i="34"/>
  <c r="C2062" i="34"/>
  <c r="B2062" i="34" s="1"/>
  <c r="P2061" i="34"/>
  <c r="M2061" i="34"/>
  <c r="C2061" i="34"/>
  <c r="B2061" i="34" s="1"/>
  <c r="P2060" i="34"/>
  <c r="M2060" i="34"/>
  <c r="C2060" i="34"/>
  <c r="B2060" i="34" s="1"/>
  <c r="P2059" i="34"/>
  <c r="M2059" i="34"/>
  <c r="C2059" i="34"/>
  <c r="B2059" i="34" s="1"/>
  <c r="P2058" i="34"/>
  <c r="M2058" i="34"/>
  <c r="C2058" i="34"/>
  <c r="B2058" i="34" s="1"/>
  <c r="P2057" i="34"/>
  <c r="M2057" i="34"/>
  <c r="C2057" i="34"/>
  <c r="B2057" i="34" s="1"/>
  <c r="P2056" i="34"/>
  <c r="M2056" i="34"/>
  <c r="C2056" i="34"/>
  <c r="B2056" i="34" s="1"/>
  <c r="P2055" i="34"/>
  <c r="M2055" i="34"/>
  <c r="C2055" i="34"/>
  <c r="B2055" i="34" s="1"/>
  <c r="P12" i="34"/>
  <c r="P13" i="34"/>
  <c r="Q13" i="34"/>
  <c r="R13" i="34"/>
  <c r="S13" i="34"/>
  <c r="P14" i="34"/>
  <c r="Q14" i="34"/>
  <c r="R14" i="34"/>
  <c r="S14" i="34"/>
  <c r="P15" i="34"/>
  <c r="Q15" i="34"/>
  <c r="R15" i="34"/>
  <c r="S15" i="34"/>
  <c r="P16" i="34"/>
  <c r="Q16" i="34"/>
  <c r="R16" i="34"/>
  <c r="S16" i="34"/>
  <c r="P17" i="34"/>
  <c r="Q17" i="34"/>
  <c r="R17" i="34"/>
  <c r="S17" i="34"/>
  <c r="P18" i="34"/>
  <c r="Q18" i="34"/>
  <c r="R18" i="34"/>
  <c r="S18" i="34"/>
  <c r="P19" i="34"/>
  <c r="Q19" i="34"/>
  <c r="R19" i="34"/>
  <c r="S19" i="34"/>
  <c r="P20" i="34"/>
  <c r="Q20" i="34"/>
  <c r="R20" i="34"/>
  <c r="S20" i="34"/>
  <c r="P21" i="34"/>
  <c r="Q21" i="34"/>
  <c r="R21" i="34"/>
  <c r="S21" i="34"/>
  <c r="P22" i="34"/>
  <c r="Q22" i="34"/>
  <c r="R22" i="34"/>
  <c r="S22" i="34"/>
  <c r="P23" i="34"/>
  <c r="Q23" i="34"/>
  <c r="R23" i="34"/>
  <c r="S23" i="34"/>
  <c r="P24" i="34"/>
  <c r="Q24" i="34"/>
  <c r="R24" i="34"/>
  <c r="S24" i="34"/>
  <c r="P25" i="34"/>
  <c r="Q25" i="34"/>
  <c r="R25" i="34"/>
  <c r="S25" i="34"/>
  <c r="P26" i="34"/>
  <c r="Q26" i="34"/>
  <c r="R26" i="34"/>
  <c r="S26" i="34"/>
  <c r="P27" i="34"/>
  <c r="Q27" i="34"/>
  <c r="R27" i="34"/>
  <c r="S27" i="34"/>
  <c r="P28" i="34"/>
  <c r="Q28" i="34"/>
  <c r="R28" i="34"/>
  <c r="S28" i="34"/>
  <c r="P29" i="34"/>
  <c r="Q29" i="34"/>
  <c r="R29" i="34"/>
  <c r="S29" i="34"/>
  <c r="P30" i="34"/>
  <c r="Q30" i="34"/>
  <c r="R30" i="34"/>
  <c r="S30" i="34"/>
  <c r="P31" i="34"/>
  <c r="Q31" i="34"/>
  <c r="R31" i="34"/>
  <c r="S31" i="34"/>
  <c r="P32" i="34"/>
  <c r="Q32" i="34"/>
  <c r="R32" i="34"/>
  <c r="S32" i="34"/>
  <c r="P33" i="34"/>
  <c r="Q33" i="34"/>
  <c r="R33" i="34"/>
  <c r="S33" i="34"/>
  <c r="P34" i="34"/>
  <c r="Q34" i="34"/>
  <c r="R34" i="34"/>
  <c r="S34" i="34"/>
  <c r="P35" i="34"/>
  <c r="Q35" i="34"/>
  <c r="R35" i="34"/>
  <c r="S35" i="34"/>
  <c r="P36" i="34"/>
  <c r="Q36" i="34"/>
  <c r="R36" i="34"/>
  <c r="S36" i="34"/>
  <c r="P37" i="34"/>
  <c r="Q37" i="34"/>
  <c r="R37" i="34"/>
  <c r="S37" i="34"/>
  <c r="P38" i="34"/>
  <c r="Q38" i="34"/>
  <c r="R38" i="34"/>
  <c r="S38" i="34"/>
  <c r="P39" i="34"/>
  <c r="Q39" i="34"/>
  <c r="R39" i="34"/>
  <c r="S39" i="34"/>
  <c r="P40" i="34"/>
  <c r="Q40" i="34"/>
  <c r="R40" i="34"/>
  <c r="S40" i="34"/>
  <c r="P41" i="34"/>
  <c r="Q41" i="34"/>
  <c r="R41" i="34"/>
  <c r="S41" i="34"/>
  <c r="P42" i="34"/>
  <c r="Q42" i="34"/>
  <c r="R42" i="34"/>
  <c r="S42" i="34"/>
  <c r="P43" i="34"/>
  <c r="Q43" i="34"/>
  <c r="R43" i="34"/>
  <c r="S43" i="34"/>
  <c r="P44" i="34"/>
  <c r="Q44" i="34"/>
  <c r="R44" i="34"/>
  <c r="S44" i="34"/>
  <c r="P45" i="34"/>
  <c r="Q45" i="34"/>
  <c r="R45" i="34"/>
  <c r="S45" i="34"/>
  <c r="P46" i="34"/>
  <c r="Q46" i="34"/>
  <c r="R46" i="34"/>
  <c r="S46" i="34"/>
  <c r="P47" i="34"/>
  <c r="Q47" i="34"/>
  <c r="R47" i="34"/>
  <c r="S47" i="34"/>
  <c r="P48" i="34"/>
  <c r="Q48" i="34"/>
  <c r="R48" i="34"/>
  <c r="S48" i="34"/>
  <c r="P49" i="34"/>
  <c r="Q49" i="34"/>
  <c r="R49" i="34"/>
  <c r="S49" i="34"/>
  <c r="P50" i="34"/>
  <c r="Q50" i="34"/>
  <c r="R50" i="34"/>
  <c r="S50" i="34"/>
  <c r="P51" i="34"/>
  <c r="Q51" i="34"/>
  <c r="R51" i="34"/>
  <c r="S51" i="34"/>
  <c r="P52" i="34"/>
  <c r="Q52" i="34"/>
  <c r="R52" i="34"/>
  <c r="S52" i="34"/>
  <c r="P53" i="34"/>
  <c r="Q53" i="34"/>
  <c r="R53" i="34"/>
  <c r="S53" i="34"/>
  <c r="P54" i="34"/>
  <c r="Q54" i="34"/>
  <c r="R54" i="34"/>
  <c r="S54" i="34"/>
  <c r="P55" i="34"/>
  <c r="Q55" i="34"/>
  <c r="R55" i="34"/>
  <c r="S55" i="34"/>
  <c r="P56" i="34"/>
  <c r="Q56" i="34"/>
  <c r="R56" i="34"/>
  <c r="S56" i="34"/>
  <c r="P57" i="34"/>
  <c r="Q57" i="34"/>
  <c r="R57" i="34"/>
  <c r="S57" i="34"/>
  <c r="P58" i="34"/>
  <c r="Q58" i="34"/>
  <c r="R58" i="34"/>
  <c r="S58" i="34"/>
  <c r="P59" i="34"/>
  <c r="Q59" i="34"/>
  <c r="R59" i="34"/>
  <c r="S59" i="34"/>
  <c r="P60" i="34"/>
  <c r="Q60" i="34"/>
  <c r="R60" i="34"/>
  <c r="S60" i="34"/>
  <c r="P61" i="34"/>
  <c r="Q61" i="34"/>
  <c r="R61" i="34"/>
  <c r="S61" i="34"/>
  <c r="P62" i="34"/>
  <c r="Q62" i="34"/>
  <c r="R62" i="34"/>
  <c r="S62" i="34"/>
  <c r="P63" i="34"/>
  <c r="Q63" i="34"/>
  <c r="R63" i="34"/>
  <c r="S63" i="34"/>
  <c r="P64" i="34"/>
  <c r="Q64" i="34"/>
  <c r="R64" i="34"/>
  <c r="S64" i="34"/>
  <c r="P65" i="34"/>
  <c r="Q65" i="34"/>
  <c r="R65" i="34"/>
  <c r="S65" i="34"/>
  <c r="P66" i="34"/>
  <c r="Q66" i="34"/>
  <c r="R66" i="34"/>
  <c r="S66" i="34"/>
  <c r="P67" i="34"/>
  <c r="Q67" i="34"/>
  <c r="R67" i="34"/>
  <c r="S67" i="34"/>
  <c r="P68" i="34"/>
  <c r="Q68" i="34"/>
  <c r="R68" i="34"/>
  <c r="S68" i="34"/>
  <c r="P69" i="34"/>
  <c r="Q69" i="34"/>
  <c r="R69" i="34"/>
  <c r="S69" i="34"/>
  <c r="P70" i="34"/>
  <c r="Q70" i="34"/>
  <c r="R70" i="34"/>
  <c r="S70" i="34"/>
  <c r="P71" i="34"/>
  <c r="Q71" i="34"/>
  <c r="R71" i="34"/>
  <c r="S71" i="34"/>
  <c r="P72" i="34"/>
  <c r="Q72" i="34"/>
  <c r="R72" i="34"/>
  <c r="S72" i="34"/>
  <c r="P73" i="34"/>
  <c r="Q73" i="34"/>
  <c r="R73" i="34"/>
  <c r="S73" i="34"/>
  <c r="P74" i="34"/>
  <c r="Q74" i="34"/>
  <c r="R74" i="34"/>
  <c r="S74" i="34"/>
  <c r="P75" i="34"/>
  <c r="Q75" i="34"/>
  <c r="R75" i="34"/>
  <c r="S75" i="34"/>
  <c r="P76" i="34"/>
  <c r="Q76" i="34"/>
  <c r="R76" i="34"/>
  <c r="S76" i="34"/>
  <c r="P77" i="34"/>
  <c r="Q77" i="34"/>
  <c r="R77" i="34"/>
  <c r="S77" i="34"/>
  <c r="P78" i="34"/>
  <c r="Q78" i="34"/>
  <c r="R78" i="34"/>
  <c r="S78" i="34"/>
  <c r="P79" i="34"/>
  <c r="Q79" i="34"/>
  <c r="R79" i="34"/>
  <c r="S79" i="34"/>
  <c r="P80" i="34"/>
  <c r="Q80" i="34"/>
  <c r="R80" i="34"/>
  <c r="S80" i="34"/>
  <c r="P81" i="34"/>
  <c r="Q81" i="34"/>
  <c r="R81" i="34"/>
  <c r="S81" i="34"/>
  <c r="P82" i="34"/>
  <c r="Q82" i="34"/>
  <c r="R82" i="34"/>
  <c r="S82" i="34"/>
  <c r="P83" i="34"/>
  <c r="Q83" i="34"/>
  <c r="R83" i="34"/>
  <c r="S83" i="34"/>
  <c r="P84" i="34"/>
  <c r="Q84" i="34"/>
  <c r="R84" i="34"/>
  <c r="S84" i="34"/>
  <c r="P85" i="34"/>
  <c r="Q85" i="34"/>
  <c r="R85" i="34"/>
  <c r="S85" i="34"/>
  <c r="P86" i="34"/>
  <c r="Q86" i="34"/>
  <c r="R86" i="34"/>
  <c r="S86" i="34"/>
  <c r="P87" i="34"/>
  <c r="Q87" i="34"/>
  <c r="R87" i="34"/>
  <c r="S87" i="34"/>
  <c r="P88" i="34"/>
  <c r="Q88" i="34"/>
  <c r="R88" i="34"/>
  <c r="S88" i="34"/>
  <c r="P89" i="34"/>
  <c r="Q89" i="34"/>
  <c r="R89" i="34"/>
  <c r="S89" i="34"/>
  <c r="P90" i="34"/>
  <c r="Q90" i="34"/>
  <c r="R90" i="34"/>
  <c r="S90" i="34"/>
  <c r="P91" i="34"/>
  <c r="Q91" i="34"/>
  <c r="R91" i="34"/>
  <c r="S91" i="34"/>
  <c r="P92" i="34"/>
  <c r="Q92" i="34"/>
  <c r="R92" i="34"/>
  <c r="S92" i="34"/>
  <c r="P93" i="34"/>
  <c r="Q93" i="34"/>
  <c r="R93" i="34"/>
  <c r="S93" i="34"/>
  <c r="P94" i="34"/>
  <c r="Q94" i="34"/>
  <c r="R94" i="34"/>
  <c r="S94" i="34"/>
  <c r="P95" i="34"/>
  <c r="Q95" i="34"/>
  <c r="R95" i="34"/>
  <c r="S95" i="34"/>
  <c r="P96" i="34"/>
  <c r="Q96" i="34"/>
  <c r="R96" i="34"/>
  <c r="S96" i="34"/>
  <c r="P97" i="34"/>
  <c r="Q97" i="34"/>
  <c r="R97" i="34"/>
  <c r="S97" i="34"/>
  <c r="P98" i="34"/>
  <c r="Q98" i="34"/>
  <c r="R98" i="34"/>
  <c r="S98" i="34"/>
  <c r="P99" i="34"/>
  <c r="Q99" i="34"/>
  <c r="R99" i="34"/>
  <c r="S99" i="34"/>
  <c r="P100" i="34"/>
  <c r="Q100" i="34"/>
  <c r="R100" i="34"/>
  <c r="S100" i="34"/>
  <c r="P101" i="34"/>
  <c r="Q101" i="34"/>
  <c r="R101" i="34"/>
  <c r="S101" i="34"/>
  <c r="P102" i="34"/>
  <c r="Q102" i="34"/>
  <c r="R102" i="34"/>
  <c r="S102" i="34"/>
  <c r="P103" i="34"/>
  <c r="Q103" i="34"/>
  <c r="R103" i="34"/>
  <c r="S103" i="34"/>
  <c r="P104" i="34"/>
  <c r="Q104" i="34"/>
  <c r="R104" i="34"/>
  <c r="S104" i="34"/>
  <c r="P105" i="34"/>
  <c r="Q105" i="34"/>
  <c r="R105" i="34"/>
  <c r="S105" i="34"/>
  <c r="P106" i="34"/>
  <c r="Q106" i="34"/>
  <c r="R106" i="34"/>
  <c r="S106" i="34"/>
  <c r="P107" i="34"/>
  <c r="Q107" i="34"/>
  <c r="R107" i="34"/>
  <c r="S107" i="34"/>
  <c r="P108" i="34"/>
  <c r="Q108" i="34"/>
  <c r="R108" i="34"/>
  <c r="S108" i="34"/>
  <c r="P109" i="34"/>
  <c r="Q109" i="34"/>
  <c r="R109" i="34"/>
  <c r="S109" i="34"/>
  <c r="P110" i="34"/>
  <c r="Q110" i="34"/>
  <c r="R110" i="34"/>
  <c r="S110" i="34"/>
  <c r="P111" i="34"/>
  <c r="Q111" i="34"/>
  <c r="R111" i="34"/>
  <c r="S111" i="34"/>
  <c r="P112" i="34"/>
  <c r="Q112" i="34"/>
  <c r="R112" i="34"/>
  <c r="S112" i="34"/>
  <c r="P113" i="34"/>
  <c r="Q113" i="34"/>
  <c r="R113" i="34"/>
  <c r="S113" i="34"/>
  <c r="P114" i="34"/>
  <c r="Q114" i="34"/>
  <c r="R114" i="34"/>
  <c r="S114" i="34"/>
  <c r="P115" i="34"/>
  <c r="Q115" i="34"/>
  <c r="R115" i="34"/>
  <c r="S115" i="34"/>
  <c r="P116" i="34"/>
  <c r="Q116" i="34"/>
  <c r="R116" i="34"/>
  <c r="S116" i="34"/>
  <c r="P117" i="34"/>
  <c r="Q117" i="34"/>
  <c r="R117" i="34"/>
  <c r="S117" i="34"/>
  <c r="P118" i="34"/>
  <c r="Q118" i="34"/>
  <c r="R118" i="34"/>
  <c r="S118" i="34"/>
  <c r="P119" i="34"/>
  <c r="Q119" i="34"/>
  <c r="R119" i="34"/>
  <c r="S119" i="34"/>
  <c r="P120" i="34"/>
  <c r="Q120" i="34"/>
  <c r="R120" i="34"/>
  <c r="S120" i="34"/>
  <c r="P121" i="34"/>
  <c r="Q121" i="34"/>
  <c r="R121" i="34"/>
  <c r="S121" i="34"/>
  <c r="P122" i="34"/>
  <c r="Q122" i="34"/>
  <c r="R122" i="34"/>
  <c r="S122" i="34"/>
  <c r="P123" i="34"/>
  <c r="Q123" i="34"/>
  <c r="R123" i="34"/>
  <c r="S123" i="34"/>
  <c r="P124" i="34"/>
  <c r="Q124" i="34"/>
  <c r="R124" i="34"/>
  <c r="S124" i="34"/>
  <c r="P125" i="34"/>
  <c r="Q125" i="34"/>
  <c r="R125" i="34"/>
  <c r="S125" i="34"/>
  <c r="P126" i="34"/>
  <c r="Q126" i="34"/>
  <c r="R126" i="34"/>
  <c r="S126" i="34"/>
  <c r="P127" i="34"/>
  <c r="Q127" i="34"/>
  <c r="R127" i="34"/>
  <c r="S127" i="34"/>
  <c r="P128" i="34"/>
  <c r="Q128" i="34"/>
  <c r="R128" i="34"/>
  <c r="S128" i="34"/>
  <c r="P129" i="34"/>
  <c r="Q129" i="34"/>
  <c r="R129" i="34"/>
  <c r="S129" i="34"/>
  <c r="P130" i="34"/>
  <c r="Q130" i="34"/>
  <c r="R130" i="34"/>
  <c r="S130" i="34"/>
  <c r="P131" i="34"/>
  <c r="Q131" i="34"/>
  <c r="R131" i="34"/>
  <c r="S131" i="34"/>
  <c r="P132" i="34"/>
  <c r="Q132" i="34"/>
  <c r="R132" i="34"/>
  <c r="S132" i="34"/>
  <c r="P133" i="34"/>
  <c r="Q133" i="34"/>
  <c r="R133" i="34"/>
  <c r="S133" i="34"/>
  <c r="P134" i="34"/>
  <c r="Q134" i="34"/>
  <c r="R134" i="34"/>
  <c r="S134" i="34"/>
  <c r="P135" i="34"/>
  <c r="Q135" i="34"/>
  <c r="R135" i="34"/>
  <c r="S135" i="34"/>
  <c r="P136" i="34"/>
  <c r="Q136" i="34"/>
  <c r="R136" i="34"/>
  <c r="S136" i="34"/>
  <c r="P137" i="34"/>
  <c r="Q137" i="34"/>
  <c r="R137" i="34"/>
  <c r="S137" i="34"/>
  <c r="P138" i="34"/>
  <c r="Q138" i="34"/>
  <c r="R138" i="34"/>
  <c r="S138" i="34"/>
  <c r="P139" i="34"/>
  <c r="Q139" i="34"/>
  <c r="R139" i="34"/>
  <c r="S139" i="34"/>
  <c r="P140" i="34"/>
  <c r="Q140" i="34"/>
  <c r="R140" i="34"/>
  <c r="S140" i="34"/>
  <c r="P141" i="34"/>
  <c r="Q141" i="34"/>
  <c r="R141" i="34"/>
  <c r="S141" i="34"/>
  <c r="P142" i="34"/>
  <c r="Q142" i="34"/>
  <c r="R142" i="34"/>
  <c r="S142" i="34"/>
  <c r="P143" i="34"/>
  <c r="Q143" i="34"/>
  <c r="R143" i="34"/>
  <c r="S143" i="34"/>
  <c r="P144" i="34"/>
  <c r="Q144" i="34"/>
  <c r="R144" i="34"/>
  <c r="S144" i="34"/>
  <c r="P145" i="34"/>
  <c r="Q145" i="34"/>
  <c r="R145" i="34"/>
  <c r="S145" i="34"/>
  <c r="P146" i="34"/>
  <c r="Q146" i="34"/>
  <c r="R146" i="34"/>
  <c r="S146" i="34"/>
  <c r="P147" i="34"/>
  <c r="Q147" i="34"/>
  <c r="R147" i="34"/>
  <c r="S147" i="34"/>
  <c r="P148" i="34"/>
  <c r="Q148" i="34"/>
  <c r="R148" i="34"/>
  <c r="S148" i="34"/>
  <c r="P149" i="34"/>
  <c r="Q149" i="34"/>
  <c r="R149" i="34"/>
  <c r="S149" i="34"/>
  <c r="P150" i="34"/>
  <c r="Q150" i="34"/>
  <c r="R150" i="34"/>
  <c r="S150" i="34"/>
  <c r="P151" i="34"/>
  <c r="Q151" i="34"/>
  <c r="R151" i="34"/>
  <c r="S151" i="34"/>
  <c r="P152" i="34"/>
  <c r="Q152" i="34"/>
  <c r="R152" i="34"/>
  <c r="S152" i="34"/>
  <c r="P153" i="34"/>
  <c r="Q153" i="34"/>
  <c r="R153" i="34"/>
  <c r="S153" i="34"/>
  <c r="P154" i="34"/>
  <c r="Q154" i="34"/>
  <c r="R154" i="34"/>
  <c r="S154" i="34"/>
  <c r="P155" i="34"/>
  <c r="Q155" i="34"/>
  <c r="R155" i="34"/>
  <c r="S155" i="34"/>
  <c r="P156" i="34"/>
  <c r="Q156" i="34"/>
  <c r="R156" i="34"/>
  <c r="S156" i="34"/>
  <c r="P157" i="34"/>
  <c r="Q157" i="34"/>
  <c r="R157" i="34"/>
  <c r="S157" i="34"/>
  <c r="P158" i="34"/>
  <c r="Q158" i="34"/>
  <c r="R158" i="34"/>
  <c r="S158" i="34"/>
  <c r="P159" i="34"/>
  <c r="Q159" i="34"/>
  <c r="R159" i="34"/>
  <c r="S159" i="34"/>
  <c r="P160" i="34"/>
  <c r="Q160" i="34"/>
  <c r="R160" i="34"/>
  <c r="S160" i="34"/>
  <c r="P161" i="34"/>
  <c r="Q161" i="34"/>
  <c r="R161" i="34"/>
  <c r="S161" i="34"/>
  <c r="P162" i="34"/>
  <c r="Q162" i="34"/>
  <c r="R162" i="34"/>
  <c r="S162" i="34"/>
  <c r="P163" i="34"/>
  <c r="Q163" i="34"/>
  <c r="R163" i="34"/>
  <c r="S163" i="34"/>
  <c r="P164" i="34"/>
  <c r="Q164" i="34"/>
  <c r="R164" i="34"/>
  <c r="S164" i="34"/>
  <c r="P165" i="34"/>
  <c r="Q165" i="34"/>
  <c r="R165" i="34"/>
  <c r="S165" i="34"/>
  <c r="P166" i="34"/>
  <c r="Q166" i="34"/>
  <c r="R166" i="34"/>
  <c r="S166" i="34"/>
  <c r="P167" i="34"/>
  <c r="Q167" i="34"/>
  <c r="R167" i="34"/>
  <c r="S167" i="34"/>
  <c r="P168" i="34"/>
  <c r="Q168" i="34"/>
  <c r="R168" i="34"/>
  <c r="S168" i="34"/>
  <c r="P169" i="34"/>
  <c r="Q169" i="34"/>
  <c r="R169" i="34"/>
  <c r="S169" i="34"/>
  <c r="P170" i="34"/>
  <c r="Q170" i="34"/>
  <c r="R170" i="34"/>
  <c r="S170" i="34"/>
  <c r="P171" i="34"/>
  <c r="Q171" i="34"/>
  <c r="R171" i="34"/>
  <c r="S171" i="34"/>
  <c r="P172" i="34"/>
  <c r="Q172" i="34"/>
  <c r="R172" i="34"/>
  <c r="S172" i="34"/>
  <c r="P173" i="34"/>
  <c r="Q173" i="34"/>
  <c r="R173" i="34"/>
  <c r="S173" i="34"/>
  <c r="P174" i="34"/>
  <c r="Q174" i="34"/>
  <c r="R174" i="34"/>
  <c r="S174" i="34"/>
  <c r="P175" i="34"/>
  <c r="Q175" i="34"/>
  <c r="R175" i="34"/>
  <c r="S175" i="34"/>
  <c r="P176" i="34"/>
  <c r="Q176" i="34"/>
  <c r="R176" i="34"/>
  <c r="S176" i="34"/>
  <c r="P177" i="34"/>
  <c r="Q177" i="34"/>
  <c r="R177" i="34"/>
  <c r="S177" i="34"/>
  <c r="P178" i="34"/>
  <c r="Q178" i="34"/>
  <c r="R178" i="34"/>
  <c r="S178" i="34"/>
  <c r="P179" i="34"/>
  <c r="Q179" i="34"/>
  <c r="R179" i="34"/>
  <c r="S179" i="34"/>
  <c r="P180" i="34"/>
  <c r="Q180" i="34"/>
  <c r="R180" i="34"/>
  <c r="S180" i="34"/>
  <c r="P181" i="34"/>
  <c r="Q181" i="34"/>
  <c r="R181" i="34"/>
  <c r="S181" i="34"/>
  <c r="P182" i="34"/>
  <c r="Q182" i="34"/>
  <c r="R182" i="34"/>
  <c r="S182" i="34"/>
  <c r="P183" i="34"/>
  <c r="Q183" i="34"/>
  <c r="R183" i="34"/>
  <c r="S183" i="34"/>
  <c r="P184" i="34"/>
  <c r="Q184" i="34"/>
  <c r="R184" i="34"/>
  <c r="S184" i="34"/>
  <c r="P185" i="34"/>
  <c r="Q185" i="34"/>
  <c r="R185" i="34"/>
  <c r="S185" i="34"/>
  <c r="P186" i="34"/>
  <c r="Q186" i="34"/>
  <c r="R186" i="34"/>
  <c r="S186" i="34"/>
  <c r="P187" i="34"/>
  <c r="Q187" i="34"/>
  <c r="R187" i="34"/>
  <c r="S187" i="34"/>
  <c r="P188" i="34"/>
  <c r="Q188" i="34"/>
  <c r="R188" i="34"/>
  <c r="S188" i="34"/>
  <c r="P189" i="34"/>
  <c r="Q189" i="34"/>
  <c r="R189" i="34"/>
  <c r="S189" i="34"/>
  <c r="P190" i="34"/>
  <c r="Q190" i="34"/>
  <c r="R190" i="34"/>
  <c r="S190" i="34"/>
  <c r="P191" i="34"/>
  <c r="Q191" i="34"/>
  <c r="R191" i="34"/>
  <c r="S191" i="34"/>
  <c r="P192" i="34"/>
  <c r="Q192" i="34"/>
  <c r="R192" i="34"/>
  <c r="S192" i="34"/>
  <c r="P193" i="34"/>
  <c r="Q193" i="34"/>
  <c r="R193" i="34"/>
  <c r="S193" i="34"/>
  <c r="P194" i="34"/>
  <c r="Q194" i="34"/>
  <c r="R194" i="34"/>
  <c r="S194" i="34"/>
  <c r="P195" i="34"/>
  <c r="Q195" i="34"/>
  <c r="R195" i="34"/>
  <c r="S195" i="34"/>
  <c r="P196" i="34"/>
  <c r="Q196" i="34"/>
  <c r="R196" i="34"/>
  <c r="S196" i="34"/>
  <c r="P197" i="34"/>
  <c r="Q197" i="34"/>
  <c r="R197" i="34"/>
  <c r="S197" i="34"/>
  <c r="P198" i="34"/>
  <c r="Q198" i="34"/>
  <c r="R198" i="34"/>
  <c r="S198" i="34"/>
  <c r="P199" i="34"/>
  <c r="Q199" i="34"/>
  <c r="R199" i="34"/>
  <c r="S199" i="34"/>
  <c r="P200" i="34"/>
  <c r="Q200" i="34"/>
  <c r="R200" i="34"/>
  <c r="S200" i="34"/>
  <c r="P201" i="34"/>
  <c r="Q201" i="34"/>
  <c r="R201" i="34"/>
  <c r="S201" i="34"/>
  <c r="P202" i="34"/>
  <c r="Q202" i="34"/>
  <c r="R202" i="34"/>
  <c r="S202" i="34"/>
  <c r="P203" i="34"/>
  <c r="Q203" i="34"/>
  <c r="R203" i="34"/>
  <c r="S203" i="34"/>
  <c r="P204" i="34"/>
  <c r="Q204" i="34"/>
  <c r="R204" i="34"/>
  <c r="S204" i="34"/>
  <c r="P205" i="34"/>
  <c r="Q205" i="34"/>
  <c r="R205" i="34"/>
  <c r="S205" i="34"/>
  <c r="P206" i="34"/>
  <c r="Q206" i="34"/>
  <c r="R206" i="34"/>
  <c r="S206" i="34"/>
  <c r="P207" i="34"/>
  <c r="Q207" i="34"/>
  <c r="R207" i="34"/>
  <c r="S207" i="34"/>
  <c r="P208" i="34"/>
  <c r="Q208" i="34"/>
  <c r="R208" i="34"/>
  <c r="S208" i="34"/>
  <c r="P209" i="34"/>
  <c r="Q209" i="34"/>
  <c r="R209" i="34"/>
  <c r="S209" i="34"/>
  <c r="P210" i="34"/>
  <c r="Q210" i="34"/>
  <c r="R210" i="34"/>
  <c r="S210" i="34"/>
  <c r="P211" i="34"/>
  <c r="Q211" i="34"/>
  <c r="R211" i="34"/>
  <c r="S211" i="34"/>
  <c r="P212" i="34"/>
  <c r="Q212" i="34"/>
  <c r="R212" i="34"/>
  <c r="S212" i="34"/>
  <c r="P213" i="34"/>
  <c r="Q213" i="34"/>
  <c r="R213" i="34"/>
  <c r="S213" i="34"/>
  <c r="P214" i="34"/>
  <c r="Q214" i="34"/>
  <c r="R214" i="34"/>
  <c r="S214" i="34"/>
  <c r="P215" i="34"/>
  <c r="Q215" i="34"/>
  <c r="R215" i="34"/>
  <c r="S215" i="34"/>
  <c r="P216" i="34"/>
  <c r="Q216" i="34"/>
  <c r="R216" i="34"/>
  <c r="S216" i="34"/>
  <c r="P217" i="34"/>
  <c r="Q217" i="34"/>
  <c r="R217" i="34"/>
  <c r="S217" i="34"/>
  <c r="P218" i="34"/>
  <c r="Q218" i="34"/>
  <c r="R218" i="34"/>
  <c r="S218" i="34"/>
  <c r="P219" i="34"/>
  <c r="Q219" i="34"/>
  <c r="R219" i="34"/>
  <c r="S219" i="34"/>
  <c r="P220" i="34"/>
  <c r="Q220" i="34"/>
  <c r="R220" i="34"/>
  <c r="S220" i="34"/>
  <c r="P221" i="34"/>
  <c r="Q221" i="34"/>
  <c r="R221" i="34"/>
  <c r="S221" i="34"/>
  <c r="P222" i="34"/>
  <c r="Q222" i="34"/>
  <c r="R222" i="34"/>
  <c r="S222" i="34"/>
  <c r="P223" i="34"/>
  <c r="Q223" i="34"/>
  <c r="R223" i="34"/>
  <c r="S223" i="34"/>
  <c r="P224" i="34"/>
  <c r="Q224" i="34"/>
  <c r="R224" i="34"/>
  <c r="S224" i="34"/>
  <c r="P225" i="34"/>
  <c r="Q225" i="34"/>
  <c r="R225" i="34"/>
  <c r="S225" i="34"/>
  <c r="P226" i="34"/>
  <c r="Q226" i="34"/>
  <c r="R226" i="34"/>
  <c r="S226" i="34"/>
  <c r="P227" i="34"/>
  <c r="Q227" i="34"/>
  <c r="R227" i="34"/>
  <c r="S227" i="34"/>
  <c r="P228" i="34"/>
  <c r="Q228" i="34"/>
  <c r="R228" i="34"/>
  <c r="S228" i="34"/>
  <c r="P229" i="34"/>
  <c r="Q229" i="34"/>
  <c r="R229" i="34"/>
  <c r="S229" i="34"/>
  <c r="P230" i="34"/>
  <c r="Q230" i="34"/>
  <c r="R230" i="34"/>
  <c r="S230" i="34"/>
  <c r="P231" i="34"/>
  <c r="Q231" i="34"/>
  <c r="R231" i="34"/>
  <c r="S231" i="34"/>
  <c r="P232" i="34"/>
  <c r="Q232" i="34"/>
  <c r="R232" i="34"/>
  <c r="S232" i="34"/>
  <c r="P233" i="34"/>
  <c r="Q233" i="34"/>
  <c r="R233" i="34"/>
  <c r="S233" i="34"/>
  <c r="P234" i="34"/>
  <c r="Q234" i="34"/>
  <c r="R234" i="34"/>
  <c r="S234" i="34"/>
  <c r="P235" i="34"/>
  <c r="Q235" i="34"/>
  <c r="R235" i="34"/>
  <c r="S235" i="34"/>
  <c r="P236" i="34"/>
  <c r="Q236" i="34"/>
  <c r="R236" i="34"/>
  <c r="S236" i="34"/>
  <c r="P237" i="34"/>
  <c r="Q237" i="34"/>
  <c r="R237" i="34"/>
  <c r="S237" i="34"/>
  <c r="P238" i="34"/>
  <c r="Q238" i="34"/>
  <c r="R238" i="34"/>
  <c r="S238" i="34"/>
  <c r="P239" i="34"/>
  <c r="Q239" i="34"/>
  <c r="R239" i="34"/>
  <c r="S239" i="34"/>
  <c r="P240" i="34"/>
  <c r="Q240" i="34"/>
  <c r="R240" i="34"/>
  <c r="S240" i="34"/>
  <c r="P241" i="34"/>
  <c r="Q241" i="34"/>
  <c r="R241" i="34"/>
  <c r="S241" i="34"/>
  <c r="P242" i="34"/>
  <c r="Q242" i="34"/>
  <c r="R242" i="34"/>
  <c r="S242" i="34"/>
  <c r="P243" i="34"/>
  <c r="Q243" i="34"/>
  <c r="R243" i="34"/>
  <c r="S243" i="34"/>
  <c r="P244" i="34"/>
  <c r="Q244" i="34"/>
  <c r="R244" i="34"/>
  <c r="S244" i="34"/>
  <c r="P245" i="34"/>
  <c r="Q245" i="34"/>
  <c r="R245" i="34"/>
  <c r="S245" i="34"/>
  <c r="P246" i="34"/>
  <c r="Q246" i="34"/>
  <c r="R246" i="34"/>
  <c r="S246" i="34"/>
  <c r="P247" i="34"/>
  <c r="Q247" i="34"/>
  <c r="R247" i="34"/>
  <c r="S247" i="34"/>
  <c r="P248" i="34"/>
  <c r="Q248" i="34"/>
  <c r="R248" i="34"/>
  <c r="S248" i="34"/>
  <c r="P249" i="34"/>
  <c r="Q249" i="34"/>
  <c r="R249" i="34"/>
  <c r="S249" i="34"/>
  <c r="P250" i="34"/>
  <c r="Q250" i="34"/>
  <c r="R250" i="34"/>
  <c r="S250" i="34"/>
  <c r="P251" i="34"/>
  <c r="Q251" i="34"/>
  <c r="R251" i="34"/>
  <c r="S251" i="34"/>
  <c r="P252" i="34"/>
  <c r="Q252" i="34"/>
  <c r="R252" i="34"/>
  <c r="S252" i="34"/>
  <c r="P253" i="34"/>
  <c r="Q253" i="34"/>
  <c r="R253" i="34"/>
  <c r="S253" i="34"/>
  <c r="P254" i="34"/>
  <c r="Q254" i="34"/>
  <c r="R254" i="34"/>
  <c r="S254" i="34"/>
  <c r="P255" i="34"/>
  <c r="Q255" i="34"/>
  <c r="R255" i="34"/>
  <c r="S255" i="34"/>
  <c r="P256" i="34"/>
  <c r="Q256" i="34"/>
  <c r="R256" i="34"/>
  <c r="S256" i="34"/>
  <c r="P257" i="34"/>
  <c r="Q257" i="34"/>
  <c r="R257" i="34"/>
  <c r="S257" i="34"/>
  <c r="P258" i="34"/>
  <c r="Q258" i="34"/>
  <c r="R258" i="34"/>
  <c r="S258" i="34"/>
  <c r="P259" i="34"/>
  <c r="Q259" i="34"/>
  <c r="R259" i="34"/>
  <c r="S259" i="34"/>
  <c r="P260" i="34"/>
  <c r="Q260" i="34"/>
  <c r="R260" i="34"/>
  <c r="S260" i="34"/>
  <c r="P261" i="34"/>
  <c r="Q261" i="34"/>
  <c r="R261" i="34"/>
  <c r="S261" i="34"/>
  <c r="P262" i="34"/>
  <c r="Q262" i="34"/>
  <c r="R262" i="34"/>
  <c r="S262" i="34"/>
  <c r="P263" i="34"/>
  <c r="Q263" i="34"/>
  <c r="R263" i="34"/>
  <c r="S263" i="34"/>
  <c r="P264" i="34"/>
  <c r="Q264" i="34"/>
  <c r="R264" i="34"/>
  <c r="S264" i="34"/>
  <c r="P265" i="34"/>
  <c r="Q265" i="34"/>
  <c r="R265" i="34"/>
  <c r="S265" i="34"/>
  <c r="P266" i="34"/>
  <c r="Q266" i="34"/>
  <c r="R266" i="34"/>
  <c r="S266" i="34"/>
  <c r="P267" i="34"/>
  <c r="Q267" i="34"/>
  <c r="R267" i="34"/>
  <c r="S267" i="34"/>
  <c r="P268" i="34"/>
  <c r="Q268" i="34"/>
  <c r="R268" i="34"/>
  <c r="S268" i="34"/>
  <c r="P269" i="34"/>
  <c r="Q269" i="34"/>
  <c r="R269" i="34"/>
  <c r="S269" i="34"/>
  <c r="P270" i="34"/>
  <c r="Q270" i="34"/>
  <c r="R270" i="34"/>
  <c r="S270" i="34"/>
  <c r="P271" i="34"/>
  <c r="Q271" i="34"/>
  <c r="R271" i="34"/>
  <c r="S271" i="34"/>
  <c r="P272" i="34"/>
  <c r="Q272" i="34"/>
  <c r="R272" i="34"/>
  <c r="S272" i="34"/>
  <c r="P273" i="34"/>
  <c r="Q273" i="34"/>
  <c r="R273" i="34"/>
  <c r="S273" i="34"/>
  <c r="P274" i="34"/>
  <c r="Q274" i="34"/>
  <c r="R274" i="34"/>
  <c r="S274" i="34"/>
  <c r="P275" i="34"/>
  <c r="Q275" i="34"/>
  <c r="R275" i="34"/>
  <c r="S275" i="34"/>
  <c r="P276" i="34"/>
  <c r="Q276" i="34"/>
  <c r="R276" i="34"/>
  <c r="S276" i="34"/>
  <c r="P277" i="34"/>
  <c r="Q277" i="34"/>
  <c r="R277" i="34"/>
  <c r="S277" i="34"/>
  <c r="P278" i="34"/>
  <c r="Q278" i="34"/>
  <c r="R278" i="34"/>
  <c r="S278" i="34"/>
  <c r="P279" i="34"/>
  <c r="Q279" i="34"/>
  <c r="R279" i="34"/>
  <c r="S279" i="34"/>
  <c r="P280" i="34"/>
  <c r="Q280" i="34"/>
  <c r="R280" i="34"/>
  <c r="S280" i="34"/>
  <c r="P281" i="34"/>
  <c r="Q281" i="34"/>
  <c r="R281" i="34"/>
  <c r="S281" i="34"/>
  <c r="P282" i="34"/>
  <c r="Q282" i="34"/>
  <c r="R282" i="34"/>
  <c r="S282" i="34"/>
  <c r="P283" i="34"/>
  <c r="Q283" i="34"/>
  <c r="R283" i="34"/>
  <c r="S283" i="34"/>
  <c r="P284" i="34"/>
  <c r="Q284" i="34"/>
  <c r="R284" i="34"/>
  <c r="S284" i="34"/>
  <c r="P285" i="34"/>
  <c r="Q285" i="34"/>
  <c r="R285" i="34"/>
  <c r="S285" i="34"/>
  <c r="P286" i="34"/>
  <c r="Q286" i="34"/>
  <c r="R286" i="34"/>
  <c r="S286" i="34"/>
  <c r="P287" i="34"/>
  <c r="Q287" i="34"/>
  <c r="R287" i="34"/>
  <c r="S287" i="34"/>
  <c r="P288" i="34"/>
  <c r="Q288" i="34"/>
  <c r="R288" i="34"/>
  <c r="S288" i="34"/>
  <c r="P289" i="34"/>
  <c r="Q289" i="34"/>
  <c r="R289" i="34"/>
  <c r="S289" i="34"/>
  <c r="P290" i="34"/>
  <c r="Q290" i="34"/>
  <c r="R290" i="34"/>
  <c r="S290" i="34"/>
  <c r="P291" i="34"/>
  <c r="Q291" i="34"/>
  <c r="R291" i="34"/>
  <c r="S291" i="34"/>
  <c r="P292" i="34"/>
  <c r="Q292" i="34"/>
  <c r="R292" i="34"/>
  <c r="S292" i="34"/>
  <c r="P293" i="34"/>
  <c r="Q293" i="34"/>
  <c r="R293" i="34"/>
  <c r="S293" i="34"/>
  <c r="P294" i="34"/>
  <c r="Q294" i="34"/>
  <c r="R294" i="34"/>
  <c r="S294" i="34"/>
  <c r="P295" i="34"/>
  <c r="Q295" i="34"/>
  <c r="R295" i="34"/>
  <c r="S295" i="34"/>
  <c r="P296" i="34"/>
  <c r="Q296" i="34"/>
  <c r="R296" i="34"/>
  <c r="S296" i="34"/>
  <c r="P297" i="34"/>
  <c r="Q297" i="34"/>
  <c r="R297" i="34"/>
  <c r="S297" i="34"/>
  <c r="P298" i="34"/>
  <c r="Q298" i="34"/>
  <c r="R298" i="34"/>
  <c r="S298" i="34"/>
  <c r="P299" i="34"/>
  <c r="Q299" i="34"/>
  <c r="R299" i="34"/>
  <c r="S299" i="34"/>
  <c r="P300" i="34"/>
  <c r="Q300" i="34"/>
  <c r="R300" i="34"/>
  <c r="S300" i="34"/>
  <c r="P301" i="34"/>
  <c r="Q301" i="34"/>
  <c r="R301" i="34"/>
  <c r="S301" i="34"/>
  <c r="P302" i="34"/>
  <c r="Q302" i="34"/>
  <c r="R302" i="34"/>
  <c r="S302" i="34"/>
  <c r="P303" i="34"/>
  <c r="Q303" i="34"/>
  <c r="R303" i="34"/>
  <c r="S303" i="34"/>
  <c r="P304" i="34"/>
  <c r="Q304" i="34"/>
  <c r="R304" i="34"/>
  <c r="S304" i="34"/>
  <c r="P305" i="34"/>
  <c r="Q305" i="34"/>
  <c r="R305" i="34"/>
  <c r="S305" i="34"/>
  <c r="P306" i="34"/>
  <c r="Q306" i="34"/>
  <c r="R306" i="34"/>
  <c r="S306" i="34"/>
  <c r="P307" i="34"/>
  <c r="Q307" i="34"/>
  <c r="R307" i="34"/>
  <c r="S307" i="34"/>
  <c r="P308" i="34"/>
  <c r="Q308" i="34"/>
  <c r="R308" i="34"/>
  <c r="S308" i="34"/>
  <c r="P309" i="34"/>
  <c r="Q309" i="34"/>
  <c r="R309" i="34"/>
  <c r="S309" i="34"/>
  <c r="P310" i="34"/>
  <c r="Q310" i="34"/>
  <c r="R310" i="34"/>
  <c r="S310" i="34"/>
  <c r="P311" i="34"/>
  <c r="Q311" i="34"/>
  <c r="R311" i="34"/>
  <c r="S311" i="34"/>
  <c r="P312" i="34"/>
  <c r="Q312" i="34"/>
  <c r="R312" i="34"/>
  <c r="S312" i="34"/>
  <c r="P313" i="34"/>
  <c r="Q313" i="34"/>
  <c r="R313" i="34"/>
  <c r="S313" i="34"/>
  <c r="P314" i="34"/>
  <c r="Q314" i="34"/>
  <c r="R314" i="34"/>
  <c r="S314" i="34"/>
  <c r="P315" i="34"/>
  <c r="Q315" i="34"/>
  <c r="R315" i="34"/>
  <c r="S315" i="34"/>
  <c r="P316" i="34"/>
  <c r="Q316" i="34"/>
  <c r="R316" i="34"/>
  <c r="S316" i="34"/>
  <c r="P317" i="34"/>
  <c r="Q317" i="34"/>
  <c r="R317" i="34"/>
  <c r="S317" i="34"/>
  <c r="P318" i="34"/>
  <c r="Q318" i="34"/>
  <c r="R318" i="34"/>
  <c r="S318" i="34"/>
  <c r="P319" i="34"/>
  <c r="Q319" i="34"/>
  <c r="R319" i="34"/>
  <c r="S319" i="34"/>
  <c r="P320" i="34"/>
  <c r="Q320" i="34"/>
  <c r="R320" i="34"/>
  <c r="S320" i="34"/>
  <c r="P321" i="34"/>
  <c r="Q321" i="34"/>
  <c r="R321" i="34"/>
  <c r="S321" i="34"/>
  <c r="P322" i="34"/>
  <c r="Q322" i="34"/>
  <c r="R322" i="34"/>
  <c r="S322" i="34"/>
  <c r="P323" i="34"/>
  <c r="Q323" i="34"/>
  <c r="R323" i="34"/>
  <c r="S323" i="34"/>
  <c r="P324" i="34"/>
  <c r="Q324" i="34"/>
  <c r="R324" i="34"/>
  <c r="S324" i="34"/>
  <c r="P325" i="34"/>
  <c r="Q325" i="34"/>
  <c r="R325" i="34"/>
  <c r="S325" i="34"/>
  <c r="P326" i="34"/>
  <c r="Q326" i="34"/>
  <c r="R326" i="34"/>
  <c r="S326" i="34"/>
  <c r="P327" i="34"/>
  <c r="Q327" i="34"/>
  <c r="R327" i="34"/>
  <c r="S327" i="34"/>
  <c r="P328" i="34"/>
  <c r="Q328" i="34"/>
  <c r="R328" i="34"/>
  <c r="S328" i="34"/>
  <c r="P329" i="34"/>
  <c r="Q329" i="34"/>
  <c r="R329" i="34"/>
  <c r="S329" i="34"/>
  <c r="P330" i="34"/>
  <c r="Q330" i="34"/>
  <c r="R330" i="34"/>
  <c r="S330" i="34"/>
  <c r="P331" i="34"/>
  <c r="Q331" i="34"/>
  <c r="R331" i="34"/>
  <c r="S331" i="34"/>
  <c r="P332" i="34"/>
  <c r="Q332" i="34"/>
  <c r="R332" i="34"/>
  <c r="S332" i="34"/>
  <c r="P333" i="34"/>
  <c r="Q333" i="34"/>
  <c r="R333" i="34"/>
  <c r="S333" i="34"/>
  <c r="P334" i="34"/>
  <c r="Q334" i="34"/>
  <c r="R334" i="34"/>
  <c r="S334" i="34"/>
  <c r="P335" i="34"/>
  <c r="Q335" i="34"/>
  <c r="R335" i="34"/>
  <c r="S335" i="34"/>
  <c r="P336" i="34"/>
  <c r="Q336" i="34"/>
  <c r="R336" i="34"/>
  <c r="S336" i="34"/>
  <c r="P337" i="34"/>
  <c r="Q337" i="34"/>
  <c r="R337" i="34"/>
  <c r="S337" i="34"/>
  <c r="P338" i="34"/>
  <c r="Q338" i="34"/>
  <c r="R338" i="34"/>
  <c r="S338" i="34"/>
  <c r="P339" i="34"/>
  <c r="Q339" i="34"/>
  <c r="R339" i="34"/>
  <c r="S339" i="34"/>
  <c r="P340" i="34"/>
  <c r="Q340" i="34"/>
  <c r="R340" i="34"/>
  <c r="S340" i="34"/>
  <c r="P341" i="34"/>
  <c r="Q341" i="34"/>
  <c r="R341" i="34"/>
  <c r="S341" i="34"/>
  <c r="P342" i="34"/>
  <c r="Q342" i="34"/>
  <c r="R342" i="34"/>
  <c r="S342" i="34"/>
  <c r="P343" i="34"/>
  <c r="Q343" i="34"/>
  <c r="R343" i="34"/>
  <c r="S343" i="34"/>
  <c r="P344" i="34"/>
  <c r="Q344" i="34"/>
  <c r="R344" i="34"/>
  <c r="S344" i="34"/>
  <c r="P345" i="34"/>
  <c r="Q345" i="34"/>
  <c r="R345" i="34"/>
  <c r="S345" i="34"/>
  <c r="P346" i="34"/>
  <c r="Q346" i="34"/>
  <c r="R346" i="34"/>
  <c r="S346" i="34"/>
  <c r="P347" i="34"/>
  <c r="Q347" i="34"/>
  <c r="R347" i="34"/>
  <c r="S347" i="34"/>
  <c r="P348" i="34"/>
  <c r="Q348" i="34"/>
  <c r="R348" i="34"/>
  <c r="S348" i="34"/>
  <c r="P349" i="34"/>
  <c r="Q349" i="34"/>
  <c r="R349" i="34"/>
  <c r="S349" i="34"/>
  <c r="P350" i="34"/>
  <c r="Q350" i="34"/>
  <c r="R350" i="34"/>
  <c r="S350" i="34"/>
  <c r="P351" i="34"/>
  <c r="Q351" i="34"/>
  <c r="R351" i="34"/>
  <c r="S351" i="34"/>
  <c r="P352" i="34"/>
  <c r="Q352" i="34"/>
  <c r="R352" i="34"/>
  <c r="S352" i="34"/>
  <c r="P353" i="34"/>
  <c r="Q353" i="34"/>
  <c r="R353" i="34"/>
  <c r="S353" i="34"/>
  <c r="P354" i="34"/>
  <c r="Q354" i="34"/>
  <c r="R354" i="34"/>
  <c r="S354" i="34"/>
  <c r="P355" i="34"/>
  <c r="Q355" i="34"/>
  <c r="R355" i="34"/>
  <c r="S355" i="34"/>
  <c r="P356" i="34"/>
  <c r="Q356" i="34"/>
  <c r="R356" i="34"/>
  <c r="S356" i="34"/>
  <c r="P357" i="34"/>
  <c r="Q357" i="34"/>
  <c r="R357" i="34"/>
  <c r="S357" i="34"/>
  <c r="P358" i="34"/>
  <c r="Q358" i="34"/>
  <c r="R358" i="34"/>
  <c r="S358" i="34"/>
  <c r="P359" i="34"/>
  <c r="Q359" i="34"/>
  <c r="R359" i="34"/>
  <c r="S359" i="34"/>
  <c r="P360" i="34"/>
  <c r="Q360" i="34"/>
  <c r="R360" i="34"/>
  <c r="S360" i="34"/>
  <c r="P361" i="34"/>
  <c r="Q361" i="34"/>
  <c r="R361" i="34"/>
  <c r="S361" i="34"/>
  <c r="P362" i="34"/>
  <c r="Q362" i="34"/>
  <c r="R362" i="34"/>
  <c r="S362" i="34"/>
  <c r="P363" i="34"/>
  <c r="Q363" i="34"/>
  <c r="R363" i="34"/>
  <c r="S363" i="34"/>
  <c r="P364" i="34"/>
  <c r="Q364" i="34"/>
  <c r="R364" i="34"/>
  <c r="S364" i="34"/>
  <c r="P365" i="34"/>
  <c r="Q365" i="34"/>
  <c r="R365" i="34"/>
  <c r="S365" i="34"/>
  <c r="P366" i="34"/>
  <c r="Q366" i="34"/>
  <c r="R366" i="34"/>
  <c r="S366" i="34"/>
  <c r="P367" i="34"/>
  <c r="Q367" i="34"/>
  <c r="R367" i="34"/>
  <c r="S367" i="34"/>
  <c r="P368" i="34"/>
  <c r="Q368" i="34"/>
  <c r="R368" i="34"/>
  <c r="S368" i="34"/>
  <c r="P369" i="34"/>
  <c r="Q369" i="34"/>
  <c r="R369" i="34"/>
  <c r="S369" i="34"/>
  <c r="P370" i="34"/>
  <c r="Q370" i="34"/>
  <c r="R370" i="34"/>
  <c r="S370" i="34"/>
  <c r="P371" i="34"/>
  <c r="Q371" i="34"/>
  <c r="R371" i="34"/>
  <c r="S371" i="34"/>
  <c r="P372" i="34"/>
  <c r="Q372" i="34"/>
  <c r="R372" i="34"/>
  <c r="S372" i="34"/>
  <c r="P373" i="34"/>
  <c r="Q373" i="34"/>
  <c r="R373" i="34"/>
  <c r="S373" i="34"/>
  <c r="P374" i="34"/>
  <c r="Q374" i="34"/>
  <c r="R374" i="34"/>
  <c r="S374" i="34"/>
  <c r="P375" i="34"/>
  <c r="Q375" i="34"/>
  <c r="R375" i="34"/>
  <c r="S375" i="34"/>
  <c r="P376" i="34"/>
  <c r="Q376" i="34"/>
  <c r="R376" i="34"/>
  <c r="S376" i="34"/>
  <c r="P377" i="34"/>
  <c r="Q377" i="34"/>
  <c r="R377" i="34"/>
  <c r="S377" i="34"/>
  <c r="P378" i="34"/>
  <c r="Q378" i="34"/>
  <c r="R378" i="34"/>
  <c r="S378" i="34"/>
  <c r="P379" i="34"/>
  <c r="Q379" i="34"/>
  <c r="R379" i="34"/>
  <c r="S379" i="34"/>
  <c r="P380" i="34"/>
  <c r="Q380" i="34"/>
  <c r="R380" i="34"/>
  <c r="S380" i="34"/>
  <c r="P381" i="34"/>
  <c r="Q381" i="34"/>
  <c r="R381" i="34"/>
  <c r="S381" i="34"/>
  <c r="P382" i="34"/>
  <c r="Q382" i="34"/>
  <c r="R382" i="34"/>
  <c r="S382" i="34"/>
  <c r="P383" i="34"/>
  <c r="Q383" i="34"/>
  <c r="R383" i="34"/>
  <c r="S383" i="34"/>
  <c r="P384" i="34"/>
  <c r="Q384" i="34"/>
  <c r="R384" i="34"/>
  <c r="S384" i="34"/>
  <c r="P385" i="34"/>
  <c r="Q385" i="34"/>
  <c r="R385" i="34"/>
  <c r="S385" i="34"/>
  <c r="P386" i="34"/>
  <c r="Q386" i="34"/>
  <c r="R386" i="34"/>
  <c r="S386" i="34"/>
  <c r="P387" i="34"/>
  <c r="Q387" i="34"/>
  <c r="R387" i="34"/>
  <c r="S387" i="34"/>
  <c r="P388" i="34"/>
  <c r="Q388" i="34"/>
  <c r="R388" i="34"/>
  <c r="S388" i="34"/>
  <c r="P389" i="34"/>
  <c r="Q389" i="34"/>
  <c r="R389" i="34"/>
  <c r="S389" i="34"/>
  <c r="P390" i="34"/>
  <c r="Q390" i="34"/>
  <c r="R390" i="34"/>
  <c r="S390" i="34"/>
  <c r="P391" i="34"/>
  <c r="Q391" i="34"/>
  <c r="R391" i="34"/>
  <c r="S391" i="34"/>
  <c r="P392" i="34"/>
  <c r="Q392" i="34"/>
  <c r="R392" i="34"/>
  <c r="S392" i="34"/>
  <c r="P393" i="34"/>
  <c r="Q393" i="34"/>
  <c r="R393" i="34"/>
  <c r="S393" i="34"/>
  <c r="P394" i="34"/>
  <c r="Q394" i="34"/>
  <c r="R394" i="34"/>
  <c r="S394" i="34"/>
  <c r="P395" i="34"/>
  <c r="Q395" i="34"/>
  <c r="R395" i="34"/>
  <c r="S395" i="34"/>
  <c r="P396" i="34"/>
  <c r="Q396" i="34"/>
  <c r="R396" i="34"/>
  <c r="S396" i="34"/>
  <c r="P397" i="34"/>
  <c r="Q397" i="34"/>
  <c r="R397" i="34"/>
  <c r="S397" i="34"/>
  <c r="P398" i="34"/>
  <c r="Q398" i="34"/>
  <c r="R398" i="34"/>
  <c r="S398" i="34"/>
  <c r="P399" i="34"/>
  <c r="Q399" i="34"/>
  <c r="R399" i="34"/>
  <c r="S399" i="34"/>
  <c r="P400" i="34"/>
  <c r="Q400" i="34"/>
  <c r="R400" i="34"/>
  <c r="S400" i="34"/>
  <c r="P401" i="34"/>
  <c r="Q401" i="34"/>
  <c r="R401" i="34"/>
  <c r="S401" i="34"/>
  <c r="P402" i="34"/>
  <c r="Q402" i="34"/>
  <c r="R402" i="34"/>
  <c r="S402" i="34"/>
  <c r="P403" i="34"/>
  <c r="Q403" i="34"/>
  <c r="R403" i="34"/>
  <c r="S403" i="34"/>
  <c r="P404" i="34"/>
  <c r="Q404" i="34"/>
  <c r="R404" i="34"/>
  <c r="S404" i="34"/>
  <c r="P405" i="34"/>
  <c r="Q405" i="34"/>
  <c r="R405" i="34"/>
  <c r="S405" i="34"/>
  <c r="P406" i="34"/>
  <c r="Q406" i="34"/>
  <c r="R406" i="34"/>
  <c r="S406" i="34"/>
  <c r="P407" i="34"/>
  <c r="Q407" i="34"/>
  <c r="R407" i="34"/>
  <c r="S407" i="34"/>
  <c r="P408" i="34"/>
  <c r="Q408" i="34"/>
  <c r="R408" i="34"/>
  <c r="S408" i="34"/>
  <c r="P409" i="34"/>
  <c r="Q409" i="34"/>
  <c r="R409" i="34"/>
  <c r="S409" i="34"/>
  <c r="P410" i="34"/>
  <c r="Q410" i="34"/>
  <c r="R410" i="34"/>
  <c r="S410" i="34"/>
  <c r="P411" i="34"/>
  <c r="Q411" i="34"/>
  <c r="R411" i="34"/>
  <c r="S411" i="34"/>
  <c r="P412" i="34"/>
  <c r="Q412" i="34"/>
  <c r="R412" i="34"/>
  <c r="S412" i="34"/>
  <c r="P413" i="34"/>
  <c r="Q413" i="34"/>
  <c r="R413" i="34"/>
  <c r="S413" i="34"/>
  <c r="P414" i="34"/>
  <c r="Q414" i="34"/>
  <c r="R414" i="34"/>
  <c r="S414" i="34"/>
  <c r="P415" i="34"/>
  <c r="Q415" i="34"/>
  <c r="R415" i="34"/>
  <c r="S415" i="34"/>
  <c r="P416" i="34"/>
  <c r="Q416" i="34"/>
  <c r="R416" i="34"/>
  <c r="S416" i="34"/>
  <c r="P417" i="34"/>
  <c r="Q417" i="34"/>
  <c r="R417" i="34"/>
  <c r="S417" i="34"/>
  <c r="P418" i="34"/>
  <c r="Q418" i="34"/>
  <c r="R418" i="34"/>
  <c r="S418" i="34"/>
  <c r="P419" i="34"/>
  <c r="Q419" i="34"/>
  <c r="R419" i="34"/>
  <c r="S419" i="34"/>
  <c r="P420" i="34"/>
  <c r="Q420" i="34"/>
  <c r="R420" i="34"/>
  <c r="S420" i="34"/>
  <c r="P421" i="34"/>
  <c r="Q421" i="34"/>
  <c r="R421" i="34"/>
  <c r="S421" i="34"/>
  <c r="P422" i="34"/>
  <c r="Q422" i="34"/>
  <c r="R422" i="34"/>
  <c r="S422" i="34"/>
  <c r="P423" i="34"/>
  <c r="Q423" i="34"/>
  <c r="R423" i="34"/>
  <c r="S423" i="34"/>
  <c r="P424" i="34"/>
  <c r="Q424" i="34"/>
  <c r="R424" i="34"/>
  <c r="S424" i="34"/>
  <c r="P425" i="34"/>
  <c r="Q425" i="34"/>
  <c r="R425" i="34"/>
  <c r="S425" i="34"/>
  <c r="P426" i="34"/>
  <c r="Q426" i="34"/>
  <c r="R426" i="34"/>
  <c r="S426" i="34"/>
  <c r="P427" i="34"/>
  <c r="Q427" i="34"/>
  <c r="R427" i="34"/>
  <c r="S427" i="34"/>
  <c r="P428" i="34"/>
  <c r="Q428" i="34"/>
  <c r="R428" i="34"/>
  <c r="S428" i="34"/>
  <c r="P429" i="34"/>
  <c r="Q429" i="34"/>
  <c r="R429" i="34"/>
  <c r="S429" i="34"/>
  <c r="P430" i="34"/>
  <c r="Q430" i="34"/>
  <c r="R430" i="34"/>
  <c r="S430" i="34"/>
  <c r="P431" i="34"/>
  <c r="Q431" i="34"/>
  <c r="R431" i="34"/>
  <c r="S431" i="34"/>
  <c r="P432" i="34"/>
  <c r="Q432" i="34"/>
  <c r="R432" i="34"/>
  <c r="S432" i="34"/>
  <c r="P433" i="34"/>
  <c r="Q433" i="34"/>
  <c r="R433" i="34"/>
  <c r="S433" i="34"/>
  <c r="P434" i="34"/>
  <c r="Q434" i="34"/>
  <c r="R434" i="34"/>
  <c r="S434" i="34"/>
  <c r="P435" i="34"/>
  <c r="Q435" i="34"/>
  <c r="R435" i="34"/>
  <c r="S435" i="34"/>
  <c r="P436" i="34"/>
  <c r="Q436" i="34"/>
  <c r="R436" i="34"/>
  <c r="S436" i="34"/>
  <c r="P437" i="34"/>
  <c r="Q437" i="34"/>
  <c r="R437" i="34"/>
  <c r="S437" i="34"/>
  <c r="P438" i="34"/>
  <c r="Q438" i="34"/>
  <c r="R438" i="34"/>
  <c r="S438" i="34"/>
  <c r="P439" i="34"/>
  <c r="Q439" i="34"/>
  <c r="R439" i="34"/>
  <c r="S439" i="34"/>
  <c r="P440" i="34"/>
  <c r="Q440" i="34"/>
  <c r="R440" i="34"/>
  <c r="S440" i="34"/>
  <c r="P441" i="34"/>
  <c r="Q441" i="34"/>
  <c r="R441" i="34"/>
  <c r="S441" i="34"/>
  <c r="P442" i="34"/>
  <c r="Q442" i="34"/>
  <c r="R442" i="34"/>
  <c r="S442" i="34"/>
  <c r="P443" i="34"/>
  <c r="Q443" i="34"/>
  <c r="R443" i="34"/>
  <c r="S443" i="34"/>
  <c r="P444" i="34"/>
  <c r="Q444" i="34"/>
  <c r="R444" i="34"/>
  <c r="S444" i="34"/>
  <c r="P445" i="34"/>
  <c r="Q445" i="34"/>
  <c r="R445" i="34"/>
  <c r="S445" i="34"/>
  <c r="P446" i="34"/>
  <c r="Q446" i="34"/>
  <c r="R446" i="34"/>
  <c r="S446" i="34"/>
  <c r="P447" i="34"/>
  <c r="Q447" i="34"/>
  <c r="R447" i="34"/>
  <c r="S447" i="34"/>
  <c r="P448" i="34"/>
  <c r="Q448" i="34"/>
  <c r="R448" i="34"/>
  <c r="S448" i="34"/>
  <c r="P449" i="34"/>
  <c r="Q449" i="34"/>
  <c r="R449" i="34"/>
  <c r="S449" i="34"/>
  <c r="P450" i="34"/>
  <c r="Q450" i="34"/>
  <c r="R450" i="34"/>
  <c r="S450" i="34"/>
  <c r="P451" i="34"/>
  <c r="Q451" i="34"/>
  <c r="R451" i="34"/>
  <c r="S451" i="34"/>
  <c r="P452" i="34"/>
  <c r="Q452" i="34"/>
  <c r="R452" i="34"/>
  <c r="S452" i="34"/>
  <c r="P453" i="34"/>
  <c r="Q453" i="34"/>
  <c r="R453" i="34"/>
  <c r="S453" i="34"/>
  <c r="P454" i="34"/>
  <c r="Q454" i="34"/>
  <c r="R454" i="34"/>
  <c r="S454" i="34"/>
  <c r="P455" i="34"/>
  <c r="Q455" i="34"/>
  <c r="R455" i="34"/>
  <c r="S455" i="34"/>
  <c r="P456" i="34"/>
  <c r="Q456" i="34"/>
  <c r="R456" i="34"/>
  <c r="S456" i="34"/>
  <c r="P457" i="34"/>
  <c r="Q457" i="34"/>
  <c r="R457" i="34"/>
  <c r="S457" i="34"/>
  <c r="P458" i="34"/>
  <c r="Q458" i="34"/>
  <c r="R458" i="34"/>
  <c r="S458" i="34"/>
  <c r="P459" i="34"/>
  <c r="Q459" i="34"/>
  <c r="R459" i="34"/>
  <c r="S459" i="34"/>
  <c r="P460" i="34"/>
  <c r="Q460" i="34"/>
  <c r="R460" i="34"/>
  <c r="S460" i="34"/>
  <c r="P461" i="34"/>
  <c r="Q461" i="34"/>
  <c r="R461" i="34"/>
  <c r="S461" i="34"/>
  <c r="P462" i="34"/>
  <c r="Q462" i="34"/>
  <c r="R462" i="34"/>
  <c r="S462" i="34"/>
  <c r="P463" i="34"/>
  <c r="Q463" i="34"/>
  <c r="R463" i="34"/>
  <c r="S463" i="34"/>
  <c r="P464" i="34"/>
  <c r="Q464" i="34"/>
  <c r="R464" i="34"/>
  <c r="S464" i="34"/>
  <c r="P465" i="34"/>
  <c r="Q465" i="34"/>
  <c r="R465" i="34"/>
  <c r="S465" i="34"/>
  <c r="P466" i="34"/>
  <c r="Q466" i="34"/>
  <c r="R466" i="34"/>
  <c r="S466" i="34"/>
  <c r="P467" i="34"/>
  <c r="Q467" i="34"/>
  <c r="R467" i="34"/>
  <c r="S467" i="34"/>
  <c r="P468" i="34"/>
  <c r="Q468" i="34"/>
  <c r="R468" i="34"/>
  <c r="S468" i="34"/>
  <c r="P469" i="34"/>
  <c r="Q469" i="34"/>
  <c r="R469" i="34"/>
  <c r="S469" i="34"/>
  <c r="P470" i="34"/>
  <c r="Q470" i="34"/>
  <c r="R470" i="34"/>
  <c r="S470" i="34"/>
  <c r="P471" i="34"/>
  <c r="Q471" i="34"/>
  <c r="R471" i="34"/>
  <c r="S471" i="34"/>
  <c r="P472" i="34"/>
  <c r="Q472" i="34"/>
  <c r="R472" i="34"/>
  <c r="S472" i="34"/>
  <c r="P473" i="34"/>
  <c r="Q473" i="34"/>
  <c r="R473" i="34"/>
  <c r="S473" i="34"/>
  <c r="P474" i="34"/>
  <c r="Q474" i="34"/>
  <c r="R474" i="34"/>
  <c r="S474" i="34"/>
  <c r="P475" i="34"/>
  <c r="Q475" i="34"/>
  <c r="R475" i="34"/>
  <c r="S475" i="34"/>
  <c r="P476" i="34"/>
  <c r="Q476" i="34"/>
  <c r="R476" i="34"/>
  <c r="S476" i="34"/>
  <c r="P477" i="34"/>
  <c r="Q477" i="34"/>
  <c r="R477" i="34"/>
  <c r="S477" i="34"/>
  <c r="P478" i="34"/>
  <c r="Q478" i="34"/>
  <c r="R478" i="34"/>
  <c r="S478" i="34"/>
  <c r="P479" i="34"/>
  <c r="Q479" i="34"/>
  <c r="R479" i="34"/>
  <c r="S479" i="34"/>
  <c r="P480" i="34"/>
  <c r="Q480" i="34"/>
  <c r="R480" i="34"/>
  <c r="S480" i="34"/>
  <c r="P481" i="34"/>
  <c r="Q481" i="34"/>
  <c r="R481" i="34"/>
  <c r="S481" i="34"/>
  <c r="P482" i="34"/>
  <c r="Q482" i="34"/>
  <c r="R482" i="34"/>
  <c r="S482" i="34"/>
  <c r="P483" i="34"/>
  <c r="Q483" i="34"/>
  <c r="R483" i="34"/>
  <c r="S483" i="34"/>
  <c r="P484" i="34"/>
  <c r="Q484" i="34"/>
  <c r="R484" i="34"/>
  <c r="S484" i="34"/>
  <c r="P485" i="34"/>
  <c r="Q485" i="34"/>
  <c r="R485" i="34"/>
  <c r="S485" i="34"/>
  <c r="P486" i="34"/>
  <c r="Q486" i="34"/>
  <c r="R486" i="34"/>
  <c r="S486" i="34"/>
  <c r="P487" i="34"/>
  <c r="Q487" i="34"/>
  <c r="R487" i="34"/>
  <c r="S487" i="34"/>
  <c r="P488" i="34"/>
  <c r="Q488" i="34"/>
  <c r="R488" i="34"/>
  <c r="S488" i="34"/>
  <c r="P489" i="34"/>
  <c r="Q489" i="34"/>
  <c r="R489" i="34"/>
  <c r="S489" i="34"/>
  <c r="P490" i="34"/>
  <c r="Q490" i="34"/>
  <c r="R490" i="34"/>
  <c r="S490" i="34"/>
  <c r="P491" i="34"/>
  <c r="Q491" i="34"/>
  <c r="R491" i="34"/>
  <c r="S491" i="34"/>
  <c r="P492" i="34"/>
  <c r="Q492" i="34"/>
  <c r="R492" i="34"/>
  <c r="S492" i="34"/>
  <c r="P493" i="34"/>
  <c r="Q493" i="34"/>
  <c r="R493" i="34"/>
  <c r="S493" i="34"/>
  <c r="P494" i="34"/>
  <c r="Q494" i="34"/>
  <c r="R494" i="34"/>
  <c r="S494" i="34"/>
  <c r="P495" i="34"/>
  <c r="Q495" i="34"/>
  <c r="R495" i="34"/>
  <c r="S495" i="34"/>
  <c r="P496" i="34"/>
  <c r="Q496" i="34"/>
  <c r="R496" i="34"/>
  <c r="S496" i="34"/>
  <c r="P497" i="34"/>
  <c r="Q497" i="34"/>
  <c r="R497" i="34"/>
  <c r="S497" i="34"/>
  <c r="P498" i="34"/>
  <c r="Q498" i="34"/>
  <c r="R498" i="34"/>
  <c r="S498" i="34"/>
  <c r="P499" i="34"/>
  <c r="Q499" i="34"/>
  <c r="R499" i="34"/>
  <c r="S499" i="34"/>
  <c r="P500" i="34"/>
  <c r="Q500" i="34"/>
  <c r="R500" i="34"/>
  <c r="S500" i="34"/>
  <c r="P501" i="34"/>
  <c r="Q501" i="34"/>
  <c r="R501" i="34"/>
  <c r="S501" i="34"/>
  <c r="P502" i="34"/>
  <c r="Q502" i="34"/>
  <c r="R502" i="34"/>
  <c r="S502" i="34"/>
  <c r="P503" i="34"/>
  <c r="Q503" i="34"/>
  <c r="R503" i="34"/>
  <c r="S503" i="34"/>
  <c r="P504" i="34"/>
  <c r="Q504" i="34"/>
  <c r="R504" i="34"/>
  <c r="S504" i="34"/>
  <c r="P505" i="34"/>
  <c r="Q505" i="34"/>
  <c r="R505" i="34"/>
  <c r="S505" i="34"/>
  <c r="P506" i="34"/>
  <c r="Q506" i="34"/>
  <c r="R506" i="34"/>
  <c r="S506" i="34"/>
  <c r="P507" i="34"/>
  <c r="Q507" i="34"/>
  <c r="R507" i="34"/>
  <c r="S507" i="34"/>
  <c r="P508" i="34"/>
  <c r="Q508" i="34"/>
  <c r="R508" i="34"/>
  <c r="S508" i="34"/>
  <c r="P509" i="34"/>
  <c r="Q509" i="34"/>
  <c r="R509" i="34"/>
  <c r="S509" i="34"/>
  <c r="P510" i="34"/>
  <c r="Q510" i="34"/>
  <c r="R510" i="34"/>
  <c r="S510" i="34"/>
  <c r="P511" i="34"/>
  <c r="Q511" i="34"/>
  <c r="R511" i="34"/>
  <c r="S511" i="34"/>
  <c r="P512" i="34"/>
  <c r="Q512" i="34"/>
  <c r="R512" i="34"/>
  <c r="S512" i="34"/>
  <c r="P513" i="34"/>
  <c r="Q513" i="34"/>
  <c r="R513" i="34"/>
  <c r="S513" i="34"/>
  <c r="P514" i="34"/>
  <c r="Q514" i="34"/>
  <c r="R514" i="34"/>
  <c r="S514" i="34"/>
  <c r="P515" i="34"/>
  <c r="Q515" i="34"/>
  <c r="R515" i="34"/>
  <c r="S515" i="34"/>
  <c r="P516" i="34"/>
  <c r="Q516" i="34"/>
  <c r="R516" i="34"/>
  <c r="S516" i="34"/>
  <c r="P517" i="34"/>
  <c r="Q517" i="34"/>
  <c r="R517" i="34"/>
  <c r="S517" i="34"/>
  <c r="P518" i="34"/>
  <c r="Q518" i="34"/>
  <c r="R518" i="34"/>
  <c r="S518" i="34"/>
  <c r="P519" i="34"/>
  <c r="Q519" i="34"/>
  <c r="R519" i="34"/>
  <c r="S519" i="34"/>
  <c r="P520" i="34"/>
  <c r="Q520" i="34"/>
  <c r="R520" i="34"/>
  <c r="S520" i="34"/>
  <c r="P521" i="34"/>
  <c r="Q521" i="34"/>
  <c r="R521" i="34"/>
  <c r="S521" i="34"/>
  <c r="P522" i="34"/>
  <c r="Q522" i="34"/>
  <c r="R522" i="34"/>
  <c r="S522" i="34"/>
  <c r="P523" i="34"/>
  <c r="Q523" i="34"/>
  <c r="R523" i="34"/>
  <c r="S523" i="34"/>
  <c r="P524" i="34"/>
  <c r="Q524" i="34"/>
  <c r="R524" i="34"/>
  <c r="S524" i="34"/>
  <c r="P525" i="34"/>
  <c r="Q525" i="34"/>
  <c r="R525" i="34"/>
  <c r="S525" i="34"/>
  <c r="P526" i="34"/>
  <c r="Q526" i="34"/>
  <c r="R526" i="34"/>
  <c r="S526" i="34"/>
  <c r="P527" i="34"/>
  <c r="Q527" i="34"/>
  <c r="R527" i="34"/>
  <c r="S527" i="34"/>
  <c r="P528" i="34"/>
  <c r="Q528" i="34"/>
  <c r="R528" i="34"/>
  <c r="S528" i="34"/>
  <c r="P529" i="34"/>
  <c r="Q529" i="34"/>
  <c r="R529" i="34"/>
  <c r="S529" i="34"/>
  <c r="P530" i="34"/>
  <c r="Q530" i="34"/>
  <c r="R530" i="34"/>
  <c r="S530" i="34"/>
  <c r="P531" i="34"/>
  <c r="Q531" i="34"/>
  <c r="R531" i="34"/>
  <c r="S531" i="34"/>
  <c r="P532" i="34"/>
  <c r="Q532" i="34"/>
  <c r="R532" i="34"/>
  <c r="S532" i="34"/>
  <c r="P533" i="34"/>
  <c r="Q533" i="34"/>
  <c r="R533" i="34"/>
  <c r="S533" i="34"/>
  <c r="P534" i="34"/>
  <c r="Q534" i="34"/>
  <c r="R534" i="34"/>
  <c r="S534" i="34"/>
  <c r="P535" i="34"/>
  <c r="Q535" i="34"/>
  <c r="R535" i="34"/>
  <c r="S535" i="34"/>
  <c r="P536" i="34"/>
  <c r="Q536" i="34"/>
  <c r="R536" i="34"/>
  <c r="S536" i="34"/>
  <c r="P537" i="34"/>
  <c r="Q537" i="34"/>
  <c r="R537" i="34"/>
  <c r="S537" i="34"/>
  <c r="P538" i="34"/>
  <c r="Q538" i="34"/>
  <c r="R538" i="34"/>
  <c r="S538" i="34"/>
  <c r="P539" i="34"/>
  <c r="Q539" i="34"/>
  <c r="R539" i="34"/>
  <c r="S539" i="34"/>
  <c r="P540" i="34"/>
  <c r="Q540" i="34"/>
  <c r="R540" i="34"/>
  <c r="S540" i="34"/>
  <c r="P541" i="34"/>
  <c r="Q541" i="34"/>
  <c r="R541" i="34"/>
  <c r="S541" i="34"/>
  <c r="P542" i="34"/>
  <c r="Q542" i="34"/>
  <c r="R542" i="34"/>
  <c r="S542" i="34"/>
  <c r="P543" i="34"/>
  <c r="Q543" i="34"/>
  <c r="R543" i="34"/>
  <c r="S543" i="34"/>
  <c r="P544" i="34"/>
  <c r="Q544" i="34"/>
  <c r="R544" i="34"/>
  <c r="S544" i="34"/>
  <c r="P545" i="34"/>
  <c r="Q545" i="34"/>
  <c r="R545" i="34"/>
  <c r="S545" i="34"/>
  <c r="P546" i="34"/>
  <c r="Q546" i="34"/>
  <c r="R546" i="34"/>
  <c r="S546" i="34"/>
  <c r="P547" i="34"/>
  <c r="Q547" i="34"/>
  <c r="R547" i="34"/>
  <c r="S547" i="34"/>
  <c r="P548" i="34"/>
  <c r="Q548" i="34"/>
  <c r="R548" i="34"/>
  <c r="S548" i="34"/>
  <c r="P549" i="34"/>
  <c r="Q549" i="34"/>
  <c r="R549" i="34"/>
  <c r="S549" i="34"/>
  <c r="P550" i="34"/>
  <c r="Q550" i="34"/>
  <c r="R550" i="34"/>
  <c r="S550" i="34"/>
  <c r="P551" i="34"/>
  <c r="Q551" i="34"/>
  <c r="R551" i="34"/>
  <c r="S551" i="34"/>
  <c r="P552" i="34"/>
  <c r="Q552" i="34"/>
  <c r="R552" i="34"/>
  <c r="S552" i="34"/>
  <c r="P553" i="34"/>
  <c r="Q553" i="34"/>
  <c r="R553" i="34"/>
  <c r="S553" i="34"/>
  <c r="P554" i="34"/>
  <c r="Q554" i="34"/>
  <c r="R554" i="34"/>
  <c r="S554" i="34"/>
  <c r="P555" i="34"/>
  <c r="Q555" i="34"/>
  <c r="R555" i="34"/>
  <c r="S555" i="34"/>
  <c r="P556" i="34"/>
  <c r="Q556" i="34"/>
  <c r="R556" i="34"/>
  <c r="S556" i="34"/>
  <c r="P557" i="34"/>
  <c r="Q557" i="34"/>
  <c r="R557" i="34"/>
  <c r="S557" i="34"/>
  <c r="P558" i="34"/>
  <c r="Q558" i="34"/>
  <c r="R558" i="34"/>
  <c r="S558" i="34"/>
  <c r="P559" i="34"/>
  <c r="Q559" i="34"/>
  <c r="R559" i="34"/>
  <c r="S559" i="34"/>
  <c r="P560" i="34"/>
  <c r="Q560" i="34"/>
  <c r="R560" i="34"/>
  <c r="S560" i="34"/>
  <c r="P561" i="34"/>
  <c r="Q561" i="34"/>
  <c r="R561" i="34"/>
  <c r="S561" i="34"/>
  <c r="P562" i="34"/>
  <c r="Q562" i="34"/>
  <c r="R562" i="34"/>
  <c r="S562" i="34"/>
  <c r="P563" i="34"/>
  <c r="Q563" i="34"/>
  <c r="R563" i="34"/>
  <c r="S563" i="34"/>
  <c r="P564" i="34"/>
  <c r="Q564" i="34"/>
  <c r="R564" i="34"/>
  <c r="S564" i="34"/>
  <c r="P565" i="34"/>
  <c r="Q565" i="34"/>
  <c r="R565" i="34"/>
  <c r="S565" i="34"/>
  <c r="P566" i="34"/>
  <c r="Q566" i="34"/>
  <c r="R566" i="34"/>
  <c r="S566" i="34"/>
  <c r="P567" i="34"/>
  <c r="Q567" i="34"/>
  <c r="R567" i="34"/>
  <c r="S567" i="34"/>
  <c r="P568" i="34"/>
  <c r="Q568" i="34"/>
  <c r="R568" i="34"/>
  <c r="S568" i="34"/>
  <c r="P569" i="34"/>
  <c r="Q569" i="34"/>
  <c r="R569" i="34"/>
  <c r="S569" i="34"/>
  <c r="P570" i="34"/>
  <c r="Q570" i="34"/>
  <c r="R570" i="34"/>
  <c r="S570" i="34"/>
  <c r="P571" i="34"/>
  <c r="Q571" i="34"/>
  <c r="R571" i="34"/>
  <c r="S571" i="34"/>
  <c r="P572" i="34"/>
  <c r="Q572" i="34"/>
  <c r="R572" i="34"/>
  <c r="S572" i="34"/>
  <c r="P573" i="34"/>
  <c r="Q573" i="34"/>
  <c r="R573" i="34"/>
  <c r="S573" i="34"/>
  <c r="P574" i="34"/>
  <c r="Q574" i="34"/>
  <c r="R574" i="34"/>
  <c r="S574" i="34"/>
  <c r="P575" i="34"/>
  <c r="Q575" i="34"/>
  <c r="R575" i="34"/>
  <c r="S575" i="34"/>
  <c r="P576" i="34"/>
  <c r="Q576" i="34"/>
  <c r="R576" i="34"/>
  <c r="S576" i="34"/>
  <c r="P577" i="34"/>
  <c r="Q577" i="34"/>
  <c r="R577" i="34"/>
  <c r="S577" i="34"/>
  <c r="P578" i="34"/>
  <c r="Q578" i="34"/>
  <c r="R578" i="34"/>
  <c r="S578" i="34"/>
  <c r="P579" i="34"/>
  <c r="Q579" i="34"/>
  <c r="R579" i="34"/>
  <c r="S579" i="34"/>
  <c r="P580" i="34"/>
  <c r="Q580" i="34"/>
  <c r="R580" i="34"/>
  <c r="S580" i="34"/>
  <c r="P581" i="34"/>
  <c r="Q581" i="34"/>
  <c r="R581" i="34"/>
  <c r="S581" i="34"/>
  <c r="P582" i="34"/>
  <c r="Q582" i="34"/>
  <c r="R582" i="34"/>
  <c r="S582" i="34"/>
  <c r="P583" i="34"/>
  <c r="Q583" i="34"/>
  <c r="R583" i="34"/>
  <c r="S583" i="34"/>
  <c r="P584" i="34"/>
  <c r="Q584" i="34"/>
  <c r="R584" i="34"/>
  <c r="S584" i="34"/>
  <c r="P585" i="34"/>
  <c r="Q585" i="34"/>
  <c r="R585" i="34"/>
  <c r="S585" i="34"/>
  <c r="P586" i="34"/>
  <c r="Q586" i="34"/>
  <c r="R586" i="34"/>
  <c r="S586" i="34"/>
  <c r="P587" i="34"/>
  <c r="Q587" i="34"/>
  <c r="R587" i="34"/>
  <c r="S587" i="34"/>
  <c r="P588" i="34"/>
  <c r="Q588" i="34"/>
  <c r="R588" i="34"/>
  <c r="S588" i="34"/>
  <c r="P589" i="34"/>
  <c r="Q589" i="34"/>
  <c r="R589" i="34"/>
  <c r="S589" i="34"/>
  <c r="P590" i="34"/>
  <c r="Q590" i="34"/>
  <c r="R590" i="34"/>
  <c r="S590" i="34"/>
  <c r="P591" i="34"/>
  <c r="Q591" i="34"/>
  <c r="R591" i="34"/>
  <c r="S591" i="34"/>
  <c r="P592" i="34"/>
  <c r="Q592" i="34"/>
  <c r="R592" i="34"/>
  <c r="S592" i="34"/>
  <c r="P593" i="34"/>
  <c r="Q593" i="34"/>
  <c r="R593" i="34"/>
  <c r="S593" i="34"/>
  <c r="P594" i="34"/>
  <c r="Q594" i="34"/>
  <c r="R594" i="34"/>
  <c r="S594" i="34"/>
  <c r="P595" i="34"/>
  <c r="Q595" i="34"/>
  <c r="R595" i="34"/>
  <c r="S595" i="34"/>
  <c r="P596" i="34"/>
  <c r="Q596" i="34"/>
  <c r="R596" i="34"/>
  <c r="S596" i="34"/>
  <c r="P597" i="34"/>
  <c r="Q597" i="34"/>
  <c r="R597" i="34"/>
  <c r="S597" i="34"/>
  <c r="P598" i="34"/>
  <c r="Q598" i="34"/>
  <c r="R598" i="34"/>
  <c r="S598" i="34"/>
  <c r="P599" i="34"/>
  <c r="Q599" i="34"/>
  <c r="R599" i="34"/>
  <c r="S599" i="34"/>
  <c r="P600" i="34"/>
  <c r="Q600" i="34"/>
  <c r="R600" i="34"/>
  <c r="S600" i="34"/>
  <c r="P601" i="34"/>
  <c r="Q601" i="34"/>
  <c r="R601" i="34"/>
  <c r="S601" i="34"/>
  <c r="P602" i="34"/>
  <c r="Q602" i="34"/>
  <c r="R602" i="34"/>
  <c r="S602" i="34"/>
  <c r="P603" i="34"/>
  <c r="Q603" i="34"/>
  <c r="R603" i="34"/>
  <c r="S603" i="34"/>
  <c r="P604" i="34"/>
  <c r="Q604" i="34"/>
  <c r="R604" i="34"/>
  <c r="S604" i="34"/>
  <c r="P605" i="34"/>
  <c r="Q605" i="34"/>
  <c r="R605" i="34"/>
  <c r="S605" i="34"/>
  <c r="P606" i="34"/>
  <c r="Q606" i="34"/>
  <c r="R606" i="34"/>
  <c r="S606" i="34"/>
  <c r="P607" i="34"/>
  <c r="Q607" i="34"/>
  <c r="R607" i="34"/>
  <c r="S607" i="34"/>
  <c r="P608" i="34"/>
  <c r="Q608" i="34"/>
  <c r="R608" i="34"/>
  <c r="S608" i="34"/>
  <c r="P609" i="34"/>
  <c r="Q609" i="34"/>
  <c r="R609" i="34"/>
  <c r="S609" i="34"/>
  <c r="P610" i="34"/>
  <c r="Q610" i="34"/>
  <c r="R610" i="34"/>
  <c r="S610" i="34"/>
  <c r="P611" i="34"/>
  <c r="Q611" i="34"/>
  <c r="R611" i="34"/>
  <c r="S611" i="34"/>
  <c r="P612" i="34"/>
  <c r="Q612" i="34"/>
  <c r="R612" i="34"/>
  <c r="S612" i="34"/>
  <c r="P613" i="34"/>
  <c r="Q613" i="34"/>
  <c r="R613" i="34"/>
  <c r="S613" i="34"/>
  <c r="P614" i="34"/>
  <c r="Q614" i="34"/>
  <c r="R614" i="34"/>
  <c r="S614" i="34"/>
  <c r="P615" i="34"/>
  <c r="Q615" i="34"/>
  <c r="R615" i="34"/>
  <c r="S615" i="34"/>
  <c r="P616" i="34"/>
  <c r="Q616" i="34"/>
  <c r="R616" i="34"/>
  <c r="S616" i="34"/>
  <c r="P617" i="34"/>
  <c r="Q617" i="34"/>
  <c r="R617" i="34"/>
  <c r="S617" i="34"/>
  <c r="P618" i="34"/>
  <c r="Q618" i="34"/>
  <c r="R618" i="34"/>
  <c r="S618" i="34"/>
  <c r="P619" i="34"/>
  <c r="Q619" i="34"/>
  <c r="R619" i="34"/>
  <c r="S619" i="34"/>
  <c r="P620" i="34"/>
  <c r="Q620" i="34"/>
  <c r="R620" i="34"/>
  <c r="S620" i="34"/>
  <c r="P621" i="34"/>
  <c r="Q621" i="34"/>
  <c r="R621" i="34"/>
  <c r="S621" i="34"/>
  <c r="P622" i="34"/>
  <c r="Q622" i="34"/>
  <c r="R622" i="34"/>
  <c r="S622" i="34"/>
  <c r="P623" i="34"/>
  <c r="Q623" i="34"/>
  <c r="R623" i="34"/>
  <c r="S623" i="34"/>
  <c r="P624" i="34"/>
  <c r="Q624" i="34"/>
  <c r="R624" i="34"/>
  <c r="S624" i="34"/>
  <c r="P625" i="34"/>
  <c r="Q625" i="34"/>
  <c r="R625" i="34"/>
  <c r="S625" i="34"/>
  <c r="P626" i="34"/>
  <c r="Q626" i="34"/>
  <c r="R626" i="34"/>
  <c r="S626" i="34"/>
  <c r="P627" i="34"/>
  <c r="Q627" i="34"/>
  <c r="R627" i="34"/>
  <c r="S627" i="34"/>
  <c r="P628" i="34"/>
  <c r="Q628" i="34"/>
  <c r="R628" i="34"/>
  <c r="S628" i="34"/>
  <c r="P629" i="34"/>
  <c r="Q629" i="34"/>
  <c r="R629" i="34"/>
  <c r="S629" i="34"/>
  <c r="P630" i="34"/>
  <c r="Q630" i="34"/>
  <c r="R630" i="34"/>
  <c r="S630" i="34"/>
  <c r="P631" i="34"/>
  <c r="Q631" i="34"/>
  <c r="R631" i="34"/>
  <c r="S631" i="34"/>
  <c r="P632" i="34"/>
  <c r="Q632" i="34"/>
  <c r="R632" i="34"/>
  <c r="S632" i="34"/>
  <c r="P633" i="34"/>
  <c r="Q633" i="34"/>
  <c r="R633" i="34"/>
  <c r="S633" i="34"/>
  <c r="P634" i="34"/>
  <c r="Q634" i="34"/>
  <c r="R634" i="34"/>
  <c r="S634" i="34"/>
  <c r="P635" i="34"/>
  <c r="Q635" i="34"/>
  <c r="R635" i="34"/>
  <c r="S635" i="34"/>
  <c r="P636" i="34"/>
  <c r="Q636" i="34"/>
  <c r="R636" i="34"/>
  <c r="S636" i="34"/>
  <c r="P637" i="34"/>
  <c r="Q637" i="34"/>
  <c r="R637" i="34"/>
  <c r="S637" i="34"/>
  <c r="P638" i="34"/>
  <c r="Q638" i="34"/>
  <c r="R638" i="34"/>
  <c r="S638" i="34"/>
  <c r="P639" i="34"/>
  <c r="Q639" i="34"/>
  <c r="R639" i="34"/>
  <c r="S639" i="34"/>
  <c r="P640" i="34"/>
  <c r="Q640" i="34"/>
  <c r="R640" i="34"/>
  <c r="S640" i="34"/>
  <c r="P641" i="34"/>
  <c r="Q641" i="34"/>
  <c r="R641" i="34"/>
  <c r="S641" i="34"/>
  <c r="P642" i="34"/>
  <c r="Q642" i="34"/>
  <c r="R642" i="34"/>
  <c r="S642" i="34"/>
  <c r="P643" i="34"/>
  <c r="Q643" i="34"/>
  <c r="R643" i="34"/>
  <c r="S643" i="34"/>
  <c r="P644" i="34"/>
  <c r="Q644" i="34"/>
  <c r="R644" i="34"/>
  <c r="S644" i="34"/>
  <c r="P645" i="34"/>
  <c r="Q645" i="34"/>
  <c r="R645" i="34"/>
  <c r="S645" i="34"/>
  <c r="P646" i="34"/>
  <c r="Q646" i="34"/>
  <c r="R646" i="34"/>
  <c r="S646" i="34"/>
  <c r="P647" i="34"/>
  <c r="Q647" i="34"/>
  <c r="R647" i="34"/>
  <c r="S647" i="34"/>
  <c r="P648" i="34"/>
  <c r="Q648" i="34"/>
  <c r="R648" i="34"/>
  <c r="S648" i="34"/>
  <c r="P649" i="34"/>
  <c r="Q649" i="34"/>
  <c r="R649" i="34"/>
  <c r="S649" i="34"/>
  <c r="P650" i="34"/>
  <c r="Q650" i="34"/>
  <c r="R650" i="34"/>
  <c r="S650" i="34"/>
  <c r="P651" i="34"/>
  <c r="Q651" i="34"/>
  <c r="R651" i="34"/>
  <c r="S651" i="34"/>
  <c r="P652" i="34"/>
  <c r="Q652" i="34"/>
  <c r="R652" i="34"/>
  <c r="S652" i="34"/>
  <c r="P653" i="34"/>
  <c r="Q653" i="34"/>
  <c r="R653" i="34"/>
  <c r="S653" i="34"/>
  <c r="P654" i="34"/>
  <c r="Q654" i="34"/>
  <c r="R654" i="34"/>
  <c r="S654" i="34"/>
  <c r="P655" i="34"/>
  <c r="Q655" i="34"/>
  <c r="R655" i="34"/>
  <c r="S655" i="34"/>
  <c r="P656" i="34"/>
  <c r="Q656" i="34"/>
  <c r="R656" i="34"/>
  <c r="S656" i="34"/>
  <c r="P657" i="34"/>
  <c r="Q657" i="34"/>
  <c r="R657" i="34"/>
  <c r="S657" i="34"/>
  <c r="P658" i="34"/>
  <c r="Q658" i="34"/>
  <c r="R658" i="34"/>
  <c r="S658" i="34"/>
  <c r="P659" i="34"/>
  <c r="Q659" i="34"/>
  <c r="R659" i="34"/>
  <c r="S659" i="34"/>
  <c r="P660" i="34"/>
  <c r="Q660" i="34"/>
  <c r="R660" i="34"/>
  <c r="S660" i="34"/>
  <c r="P661" i="34"/>
  <c r="Q661" i="34"/>
  <c r="R661" i="34"/>
  <c r="S661" i="34"/>
  <c r="P662" i="34"/>
  <c r="Q662" i="34"/>
  <c r="R662" i="34"/>
  <c r="S662" i="34"/>
  <c r="P663" i="34"/>
  <c r="Q663" i="34"/>
  <c r="R663" i="34"/>
  <c r="S663" i="34"/>
  <c r="P664" i="34"/>
  <c r="Q664" i="34"/>
  <c r="R664" i="34"/>
  <c r="S664" i="34"/>
  <c r="P665" i="34"/>
  <c r="Q665" i="34"/>
  <c r="R665" i="34"/>
  <c r="S665" i="34"/>
  <c r="P666" i="34"/>
  <c r="Q666" i="34"/>
  <c r="R666" i="34"/>
  <c r="S666" i="34"/>
  <c r="P667" i="34"/>
  <c r="Q667" i="34"/>
  <c r="R667" i="34"/>
  <c r="S667" i="34"/>
  <c r="P668" i="34"/>
  <c r="Q668" i="34"/>
  <c r="R668" i="34"/>
  <c r="S668" i="34"/>
  <c r="P669" i="34"/>
  <c r="Q669" i="34"/>
  <c r="R669" i="34"/>
  <c r="S669" i="34"/>
  <c r="P670" i="34"/>
  <c r="Q670" i="34"/>
  <c r="R670" i="34"/>
  <c r="S670" i="34"/>
  <c r="P671" i="34"/>
  <c r="Q671" i="34"/>
  <c r="R671" i="34"/>
  <c r="S671" i="34"/>
  <c r="P672" i="34"/>
  <c r="Q672" i="34"/>
  <c r="R672" i="34"/>
  <c r="S672" i="34"/>
  <c r="P673" i="34"/>
  <c r="Q673" i="34"/>
  <c r="R673" i="34"/>
  <c r="S673" i="34"/>
  <c r="P674" i="34"/>
  <c r="Q674" i="34"/>
  <c r="R674" i="34"/>
  <c r="S674" i="34"/>
  <c r="P675" i="34"/>
  <c r="Q675" i="34"/>
  <c r="R675" i="34"/>
  <c r="S675" i="34"/>
  <c r="P676" i="34"/>
  <c r="Q676" i="34"/>
  <c r="R676" i="34"/>
  <c r="S676" i="34"/>
  <c r="P677" i="34"/>
  <c r="Q677" i="34"/>
  <c r="R677" i="34"/>
  <c r="S677" i="34"/>
  <c r="P678" i="34"/>
  <c r="Q678" i="34"/>
  <c r="R678" i="34"/>
  <c r="S678" i="34"/>
  <c r="P679" i="34"/>
  <c r="Q679" i="34"/>
  <c r="R679" i="34"/>
  <c r="S679" i="34"/>
  <c r="P680" i="34"/>
  <c r="Q680" i="34"/>
  <c r="R680" i="34"/>
  <c r="S680" i="34"/>
  <c r="P681" i="34"/>
  <c r="Q681" i="34"/>
  <c r="R681" i="34"/>
  <c r="S681" i="34"/>
  <c r="P682" i="34"/>
  <c r="Q682" i="34"/>
  <c r="R682" i="34"/>
  <c r="S682" i="34"/>
  <c r="P683" i="34"/>
  <c r="Q683" i="34"/>
  <c r="R683" i="34"/>
  <c r="S683" i="34"/>
  <c r="P684" i="34"/>
  <c r="Q684" i="34"/>
  <c r="R684" i="34"/>
  <c r="S684" i="34"/>
  <c r="P685" i="34"/>
  <c r="Q685" i="34"/>
  <c r="R685" i="34"/>
  <c r="S685" i="34"/>
  <c r="P686" i="34"/>
  <c r="Q686" i="34"/>
  <c r="R686" i="34"/>
  <c r="S686" i="34"/>
  <c r="P687" i="34"/>
  <c r="Q687" i="34"/>
  <c r="R687" i="34"/>
  <c r="S687" i="34"/>
  <c r="P688" i="34"/>
  <c r="Q688" i="34"/>
  <c r="R688" i="34"/>
  <c r="S688" i="34"/>
  <c r="P689" i="34"/>
  <c r="Q689" i="34"/>
  <c r="R689" i="34"/>
  <c r="S689" i="34"/>
  <c r="P690" i="34"/>
  <c r="Q690" i="34"/>
  <c r="R690" i="34"/>
  <c r="S690" i="34"/>
  <c r="P691" i="34"/>
  <c r="Q691" i="34"/>
  <c r="R691" i="34"/>
  <c r="S691" i="34"/>
  <c r="P692" i="34"/>
  <c r="Q692" i="34"/>
  <c r="R692" i="34"/>
  <c r="S692" i="34"/>
  <c r="P693" i="34"/>
  <c r="Q693" i="34"/>
  <c r="R693" i="34"/>
  <c r="S693" i="34"/>
  <c r="P694" i="34"/>
  <c r="Q694" i="34"/>
  <c r="R694" i="34"/>
  <c r="S694" i="34"/>
  <c r="P695" i="34"/>
  <c r="Q695" i="34"/>
  <c r="R695" i="34"/>
  <c r="S695" i="34"/>
  <c r="P696" i="34"/>
  <c r="Q696" i="34"/>
  <c r="R696" i="34"/>
  <c r="S696" i="34"/>
  <c r="P697" i="34"/>
  <c r="Q697" i="34"/>
  <c r="R697" i="34"/>
  <c r="S697" i="34"/>
  <c r="P698" i="34"/>
  <c r="Q698" i="34"/>
  <c r="R698" i="34"/>
  <c r="S698" i="34"/>
  <c r="P699" i="34"/>
  <c r="Q699" i="34"/>
  <c r="R699" i="34"/>
  <c r="S699" i="34"/>
  <c r="P700" i="34"/>
  <c r="Q700" i="34"/>
  <c r="R700" i="34"/>
  <c r="S700" i="34"/>
  <c r="P701" i="34"/>
  <c r="Q701" i="34"/>
  <c r="R701" i="34"/>
  <c r="S701" i="34"/>
  <c r="P702" i="34"/>
  <c r="Q702" i="34"/>
  <c r="R702" i="34"/>
  <c r="S702" i="34"/>
  <c r="P703" i="34"/>
  <c r="Q703" i="34"/>
  <c r="R703" i="34"/>
  <c r="S703" i="34"/>
  <c r="P704" i="34"/>
  <c r="Q704" i="34"/>
  <c r="R704" i="34"/>
  <c r="S704" i="34"/>
  <c r="P705" i="34"/>
  <c r="Q705" i="34"/>
  <c r="R705" i="34"/>
  <c r="S705" i="34"/>
  <c r="P706" i="34"/>
  <c r="Q706" i="34"/>
  <c r="R706" i="34"/>
  <c r="S706" i="34"/>
  <c r="P707" i="34"/>
  <c r="Q707" i="34"/>
  <c r="R707" i="34"/>
  <c r="S707" i="34"/>
  <c r="P708" i="34"/>
  <c r="Q708" i="34"/>
  <c r="R708" i="34"/>
  <c r="S708" i="34"/>
  <c r="P709" i="34"/>
  <c r="Q709" i="34"/>
  <c r="R709" i="34"/>
  <c r="S709" i="34"/>
  <c r="P710" i="34"/>
  <c r="Q710" i="34"/>
  <c r="R710" i="34"/>
  <c r="S710" i="34"/>
  <c r="P711" i="34"/>
  <c r="Q711" i="34"/>
  <c r="R711" i="34"/>
  <c r="S711" i="34"/>
  <c r="P712" i="34"/>
  <c r="Q712" i="34"/>
  <c r="R712" i="34"/>
  <c r="S712" i="34"/>
  <c r="P713" i="34"/>
  <c r="Q713" i="34"/>
  <c r="R713" i="34"/>
  <c r="S713" i="34"/>
  <c r="P714" i="34"/>
  <c r="Q714" i="34"/>
  <c r="R714" i="34"/>
  <c r="S714" i="34"/>
  <c r="P715" i="34"/>
  <c r="Q715" i="34"/>
  <c r="R715" i="34"/>
  <c r="S715" i="34"/>
  <c r="P716" i="34"/>
  <c r="Q716" i="34"/>
  <c r="R716" i="34"/>
  <c r="S716" i="34"/>
  <c r="P717" i="34"/>
  <c r="Q717" i="34"/>
  <c r="R717" i="34"/>
  <c r="S717" i="34"/>
  <c r="P718" i="34"/>
  <c r="Q718" i="34"/>
  <c r="R718" i="34"/>
  <c r="S718" i="34"/>
  <c r="P719" i="34"/>
  <c r="Q719" i="34"/>
  <c r="R719" i="34"/>
  <c r="S719" i="34"/>
  <c r="P720" i="34"/>
  <c r="Q720" i="34"/>
  <c r="R720" i="34"/>
  <c r="S720" i="34"/>
  <c r="P721" i="34"/>
  <c r="Q721" i="34"/>
  <c r="R721" i="34"/>
  <c r="S721" i="34"/>
  <c r="P722" i="34"/>
  <c r="Q722" i="34"/>
  <c r="R722" i="34"/>
  <c r="S722" i="34"/>
  <c r="P723" i="34"/>
  <c r="Q723" i="34"/>
  <c r="R723" i="34"/>
  <c r="S723" i="34"/>
  <c r="P724" i="34"/>
  <c r="Q724" i="34"/>
  <c r="R724" i="34"/>
  <c r="S724" i="34"/>
  <c r="P725" i="34"/>
  <c r="Q725" i="34"/>
  <c r="R725" i="34"/>
  <c r="S725" i="34"/>
  <c r="P726" i="34"/>
  <c r="Q726" i="34"/>
  <c r="R726" i="34"/>
  <c r="S726" i="34"/>
  <c r="P727" i="34"/>
  <c r="Q727" i="34"/>
  <c r="R727" i="34"/>
  <c r="S727" i="34"/>
  <c r="P728" i="34"/>
  <c r="Q728" i="34"/>
  <c r="R728" i="34"/>
  <c r="S728" i="34"/>
  <c r="P729" i="34"/>
  <c r="Q729" i="34"/>
  <c r="R729" i="34"/>
  <c r="S729" i="34"/>
  <c r="P730" i="34"/>
  <c r="Q730" i="34"/>
  <c r="R730" i="34"/>
  <c r="S730" i="34"/>
  <c r="P731" i="34"/>
  <c r="Q731" i="34"/>
  <c r="R731" i="34"/>
  <c r="S731" i="34"/>
  <c r="P732" i="34"/>
  <c r="Q732" i="34"/>
  <c r="R732" i="34"/>
  <c r="S732" i="34"/>
  <c r="P733" i="34"/>
  <c r="Q733" i="34"/>
  <c r="R733" i="34"/>
  <c r="S733" i="34"/>
  <c r="P734" i="34"/>
  <c r="Q734" i="34"/>
  <c r="R734" i="34"/>
  <c r="S734" i="34"/>
  <c r="P735" i="34"/>
  <c r="Q735" i="34"/>
  <c r="R735" i="34"/>
  <c r="S735" i="34"/>
  <c r="P736" i="34"/>
  <c r="Q736" i="34"/>
  <c r="R736" i="34"/>
  <c r="S736" i="34"/>
  <c r="P737" i="34"/>
  <c r="Q737" i="34"/>
  <c r="R737" i="34"/>
  <c r="S737" i="34"/>
  <c r="P738" i="34"/>
  <c r="Q738" i="34"/>
  <c r="R738" i="34"/>
  <c r="S738" i="34"/>
  <c r="P739" i="34"/>
  <c r="Q739" i="34"/>
  <c r="R739" i="34"/>
  <c r="S739" i="34"/>
  <c r="P740" i="34"/>
  <c r="Q740" i="34"/>
  <c r="R740" i="34"/>
  <c r="S740" i="34"/>
  <c r="P741" i="34"/>
  <c r="Q741" i="34"/>
  <c r="R741" i="34"/>
  <c r="S741" i="34"/>
  <c r="P742" i="34"/>
  <c r="Q742" i="34"/>
  <c r="R742" i="34"/>
  <c r="S742" i="34"/>
  <c r="P743" i="34"/>
  <c r="Q743" i="34"/>
  <c r="R743" i="34"/>
  <c r="S743" i="34"/>
  <c r="P744" i="34"/>
  <c r="Q744" i="34"/>
  <c r="R744" i="34"/>
  <c r="S744" i="34"/>
  <c r="P745" i="34"/>
  <c r="Q745" i="34"/>
  <c r="R745" i="34"/>
  <c r="S745" i="34"/>
  <c r="P746" i="34"/>
  <c r="Q746" i="34"/>
  <c r="R746" i="34"/>
  <c r="S746" i="34"/>
  <c r="P747" i="34"/>
  <c r="Q747" i="34"/>
  <c r="R747" i="34"/>
  <c r="S747" i="34"/>
  <c r="P748" i="34"/>
  <c r="Q748" i="34"/>
  <c r="R748" i="34"/>
  <c r="S748" i="34"/>
  <c r="P749" i="34"/>
  <c r="Q749" i="34"/>
  <c r="R749" i="34"/>
  <c r="S749" i="34"/>
  <c r="P750" i="34"/>
  <c r="Q750" i="34"/>
  <c r="R750" i="34"/>
  <c r="S750" i="34"/>
  <c r="P751" i="34"/>
  <c r="Q751" i="34"/>
  <c r="R751" i="34"/>
  <c r="S751" i="34"/>
  <c r="P752" i="34"/>
  <c r="Q752" i="34"/>
  <c r="R752" i="34"/>
  <c r="S752" i="34"/>
  <c r="P753" i="34"/>
  <c r="Q753" i="34"/>
  <c r="R753" i="34"/>
  <c r="S753" i="34"/>
  <c r="P754" i="34"/>
  <c r="Q754" i="34"/>
  <c r="R754" i="34"/>
  <c r="S754" i="34"/>
  <c r="P755" i="34"/>
  <c r="Q755" i="34"/>
  <c r="R755" i="34"/>
  <c r="S755" i="34"/>
  <c r="P756" i="34"/>
  <c r="Q756" i="34"/>
  <c r="R756" i="34"/>
  <c r="S756" i="34"/>
  <c r="P757" i="34"/>
  <c r="Q757" i="34"/>
  <c r="R757" i="34"/>
  <c r="S757" i="34"/>
  <c r="P758" i="34"/>
  <c r="Q758" i="34"/>
  <c r="R758" i="34"/>
  <c r="S758" i="34"/>
  <c r="P759" i="34"/>
  <c r="Q759" i="34"/>
  <c r="R759" i="34"/>
  <c r="S759" i="34"/>
  <c r="P760" i="34"/>
  <c r="Q760" i="34"/>
  <c r="R760" i="34"/>
  <c r="S760" i="34"/>
  <c r="P761" i="34"/>
  <c r="Q761" i="34"/>
  <c r="R761" i="34"/>
  <c r="S761" i="34"/>
  <c r="P762" i="34"/>
  <c r="Q762" i="34"/>
  <c r="R762" i="34"/>
  <c r="S762" i="34"/>
  <c r="P763" i="34"/>
  <c r="Q763" i="34"/>
  <c r="R763" i="34"/>
  <c r="S763" i="34"/>
  <c r="P764" i="34"/>
  <c r="Q764" i="34"/>
  <c r="R764" i="34"/>
  <c r="S764" i="34"/>
  <c r="P765" i="34"/>
  <c r="Q765" i="34"/>
  <c r="R765" i="34"/>
  <c r="S765" i="34"/>
  <c r="P766" i="34"/>
  <c r="Q766" i="34"/>
  <c r="R766" i="34"/>
  <c r="S766" i="34"/>
  <c r="P767" i="34"/>
  <c r="Q767" i="34"/>
  <c r="R767" i="34"/>
  <c r="S767" i="34"/>
  <c r="P768" i="34"/>
  <c r="Q768" i="34"/>
  <c r="R768" i="34"/>
  <c r="S768" i="34"/>
  <c r="P769" i="34"/>
  <c r="Q769" i="34"/>
  <c r="R769" i="34"/>
  <c r="S769" i="34"/>
  <c r="P770" i="34"/>
  <c r="Q770" i="34"/>
  <c r="R770" i="34"/>
  <c r="S770" i="34"/>
  <c r="P771" i="34"/>
  <c r="Q771" i="34"/>
  <c r="R771" i="34"/>
  <c r="S771" i="34"/>
  <c r="P772" i="34"/>
  <c r="Q772" i="34"/>
  <c r="R772" i="34"/>
  <c r="S772" i="34"/>
  <c r="P773" i="34"/>
  <c r="Q773" i="34"/>
  <c r="R773" i="34"/>
  <c r="S773" i="34"/>
  <c r="P774" i="34"/>
  <c r="Q774" i="34"/>
  <c r="R774" i="34"/>
  <c r="S774" i="34"/>
  <c r="P775" i="34"/>
  <c r="Q775" i="34"/>
  <c r="R775" i="34"/>
  <c r="S775" i="34"/>
  <c r="P776" i="34"/>
  <c r="Q776" i="34"/>
  <c r="R776" i="34"/>
  <c r="S776" i="34"/>
  <c r="P777" i="34"/>
  <c r="Q777" i="34"/>
  <c r="R777" i="34"/>
  <c r="S777" i="34"/>
  <c r="P778" i="34"/>
  <c r="Q778" i="34"/>
  <c r="R778" i="34"/>
  <c r="S778" i="34"/>
  <c r="P779" i="34"/>
  <c r="Q779" i="34"/>
  <c r="R779" i="34"/>
  <c r="S779" i="34"/>
  <c r="P780" i="34"/>
  <c r="Q780" i="34"/>
  <c r="R780" i="34"/>
  <c r="S780" i="34"/>
  <c r="P781" i="34"/>
  <c r="Q781" i="34"/>
  <c r="R781" i="34"/>
  <c r="S781" i="34"/>
  <c r="P782" i="34"/>
  <c r="Q782" i="34"/>
  <c r="R782" i="34"/>
  <c r="S782" i="34"/>
  <c r="P783" i="34"/>
  <c r="Q783" i="34"/>
  <c r="R783" i="34"/>
  <c r="S783" i="34"/>
  <c r="P784" i="34"/>
  <c r="Q784" i="34"/>
  <c r="R784" i="34"/>
  <c r="S784" i="34"/>
  <c r="P785" i="34"/>
  <c r="Q785" i="34"/>
  <c r="R785" i="34"/>
  <c r="S785" i="34"/>
  <c r="P786" i="34"/>
  <c r="Q786" i="34"/>
  <c r="R786" i="34"/>
  <c r="S786" i="34"/>
  <c r="P787" i="34"/>
  <c r="Q787" i="34"/>
  <c r="R787" i="34"/>
  <c r="S787" i="34"/>
  <c r="P788" i="34"/>
  <c r="Q788" i="34"/>
  <c r="R788" i="34"/>
  <c r="S788" i="34"/>
  <c r="P789" i="34"/>
  <c r="Q789" i="34"/>
  <c r="R789" i="34"/>
  <c r="S789" i="34"/>
  <c r="P790" i="34"/>
  <c r="Q790" i="34"/>
  <c r="R790" i="34"/>
  <c r="S790" i="34"/>
  <c r="P791" i="34"/>
  <c r="Q791" i="34"/>
  <c r="R791" i="34"/>
  <c r="S791" i="34"/>
  <c r="P792" i="34"/>
  <c r="Q792" i="34"/>
  <c r="R792" i="34"/>
  <c r="S792" i="34"/>
  <c r="P793" i="34"/>
  <c r="Q793" i="34"/>
  <c r="R793" i="34"/>
  <c r="S793" i="34"/>
  <c r="P794" i="34"/>
  <c r="Q794" i="34"/>
  <c r="R794" i="34"/>
  <c r="S794" i="34"/>
  <c r="P795" i="34"/>
  <c r="Q795" i="34"/>
  <c r="R795" i="34"/>
  <c r="S795" i="34"/>
  <c r="P796" i="34"/>
  <c r="Q796" i="34"/>
  <c r="R796" i="34"/>
  <c r="S796" i="34"/>
  <c r="P797" i="34"/>
  <c r="Q797" i="34"/>
  <c r="R797" i="34"/>
  <c r="S797" i="34"/>
  <c r="P798" i="34"/>
  <c r="Q798" i="34"/>
  <c r="R798" i="34"/>
  <c r="S798" i="34"/>
  <c r="P799" i="34"/>
  <c r="Q799" i="34"/>
  <c r="R799" i="34"/>
  <c r="S799" i="34"/>
  <c r="P800" i="34"/>
  <c r="Q800" i="34"/>
  <c r="R800" i="34"/>
  <c r="S800" i="34"/>
  <c r="P801" i="34"/>
  <c r="Q801" i="34"/>
  <c r="R801" i="34"/>
  <c r="S801" i="34"/>
  <c r="P802" i="34"/>
  <c r="Q802" i="34"/>
  <c r="R802" i="34"/>
  <c r="S802" i="34"/>
  <c r="P803" i="34"/>
  <c r="Q803" i="34"/>
  <c r="R803" i="34"/>
  <c r="S803" i="34"/>
  <c r="P804" i="34"/>
  <c r="Q804" i="34"/>
  <c r="R804" i="34"/>
  <c r="S804" i="34"/>
  <c r="P805" i="34"/>
  <c r="Q805" i="34"/>
  <c r="R805" i="34"/>
  <c r="S805" i="34"/>
  <c r="P806" i="34"/>
  <c r="Q806" i="34"/>
  <c r="R806" i="34"/>
  <c r="S806" i="34"/>
  <c r="P807" i="34"/>
  <c r="Q807" i="34"/>
  <c r="R807" i="34"/>
  <c r="S807" i="34"/>
  <c r="P808" i="34"/>
  <c r="Q808" i="34"/>
  <c r="R808" i="34"/>
  <c r="S808" i="34"/>
  <c r="P809" i="34"/>
  <c r="Q809" i="34"/>
  <c r="R809" i="34"/>
  <c r="S809" i="34"/>
  <c r="P810" i="34"/>
  <c r="Q810" i="34"/>
  <c r="R810" i="34"/>
  <c r="S810" i="34"/>
  <c r="P811" i="34"/>
  <c r="Q811" i="34"/>
  <c r="R811" i="34"/>
  <c r="S811" i="34"/>
  <c r="P812" i="34"/>
  <c r="Q812" i="34"/>
  <c r="R812" i="34"/>
  <c r="S812" i="34"/>
  <c r="P813" i="34"/>
  <c r="Q813" i="34"/>
  <c r="R813" i="34"/>
  <c r="S813" i="34"/>
  <c r="P814" i="34"/>
  <c r="Q814" i="34"/>
  <c r="R814" i="34"/>
  <c r="S814" i="34"/>
  <c r="P815" i="34"/>
  <c r="Q815" i="34"/>
  <c r="R815" i="34"/>
  <c r="S815" i="34"/>
  <c r="P816" i="34"/>
  <c r="Q816" i="34"/>
  <c r="R816" i="34"/>
  <c r="S816" i="34"/>
  <c r="P817" i="34"/>
  <c r="Q817" i="34"/>
  <c r="R817" i="34"/>
  <c r="S817" i="34"/>
  <c r="P818" i="34"/>
  <c r="Q818" i="34"/>
  <c r="R818" i="34"/>
  <c r="S818" i="34"/>
  <c r="P819" i="34"/>
  <c r="Q819" i="34"/>
  <c r="R819" i="34"/>
  <c r="S819" i="34"/>
  <c r="P820" i="34"/>
  <c r="Q820" i="34"/>
  <c r="R820" i="34"/>
  <c r="S820" i="34"/>
  <c r="P821" i="34"/>
  <c r="Q821" i="34"/>
  <c r="R821" i="34"/>
  <c r="S821" i="34"/>
  <c r="P822" i="34"/>
  <c r="Q822" i="34"/>
  <c r="R822" i="34"/>
  <c r="S822" i="34"/>
  <c r="P823" i="34"/>
  <c r="Q823" i="34"/>
  <c r="R823" i="34"/>
  <c r="S823" i="34"/>
  <c r="P824" i="34"/>
  <c r="Q824" i="34"/>
  <c r="R824" i="34"/>
  <c r="S824" i="34"/>
  <c r="P825" i="34"/>
  <c r="Q825" i="34"/>
  <c r="R825" i="34"/>
  <c r="S825" i="34"/>
  <c r="P826" i="34"/>
  <c r="Q826" i="34"/>
  <c r="R826" i="34"/>
  <c r="S826" i="34"/>
  <c r="P827" i="34"/>
  <c r="Q827" i="34"/>
  <c r="R827" i="34"/>
  <c r="S827" i="34"/>
  <c r="P828" i="34"/>
  <c r="Q828" i="34"/>
  <c r="R828" i="34"/>
  <c r="S828" i="34"/>
  <c r="P829" i="34"/>
  <c r="Q829" i="34"/>
  <c r="R829" i="34"/>
  <c r="S829" i="34"/>
  <c r="P830" i="34"/>
  <c r="Q830" i="34"/>
  <c r="R830" i="34"/>
  <c r="S830" i="34"/>
  <c r="P831" i="34"/>
  <c r="Q831" i="34"/>
  <c r="R831" i="34"/>
  <c r="S831" i="34"/>
  <c r="P832" i="34"/>
  <c r="Q832" i="34"/>
  <c r="R832" i="34"/>
  <c r="S832" i="34"/>
  <c r="P833" i="34"/>
  <c r="Q833" i="34"/>
  <c r="R833" i="34"/>
  <c r="S833" i="34"/>
  <c r="P834" i="34"/>
  <c r="Q834" i="34"/>
  <c r="R834" i="34"/>
  <c r="S834" i="34"/>
  <c r="P835" i="34"/>
  <c r="Q835" i="34"/>
  <c r="R835" i="34"/>
  <c r="S835" i="34"/>
  <c r="P836" i="34"/>
  <c r="Q836" i="34"/>
  <c r="R836" i="34"/>
  <c r="S836" i="34"/>
  <c r="P837" i="34"/>
  <c r="Q837" i="34"/>
  <c r="R837" i="34"/>
  <c r="S837" i="34"/>
  <c r="P838" i="34"/>
  <c r="Q838" i="34"/>
  <c r="R838" i="34"/>
  <c r="S838" i="34"/>
  <c r="P839" i="34"/>
  <c r="Q839" i="34"/>
  <c r="R839" i="34"/>
  <c r="S839" i="34"/>
  <c r="P840" i="34"/>
  <c r="Q840" i="34"/>
  <c r="R840" i="34"/>
  <c r="S840" i="34"/>
  <c r="P841" i="34"/>
  <c r="Q841" i="34"/>
  <c r="R841" i="34"/>
  <c r="S841" i="34"/>
  <c r="P842" i="34"/>
  <c r="Q842" i="34"/>
  <c r="R842" i="34"/>
  <c r="S842" i="34"/>
  <c r="P843" i="34"/>
  <c r="Q843" i="34"/>
  <c r="R843" i="34"/>
  <c r="S843" i="34"/>
  <c r="P844" i="34"/>
  <c r="Q844" i="34"/>
  <c r="R844" i="34"/>
  <c r="S844" i="34"/>
  <c r="P845" i="34"/>
  <c r="Q845" i="34"/>
  <c r="R845" i="34"/>
  <c r="S845" i="34"/>
  <c r="P846" i="34"/>
  <c r="Q846" i="34"/>
  <c r="R846" i="34"/>
  <c r="S846" i="34"/>
  <c r="P847" i="34"/>
  <c r="Q847" i="34"/>
  <c r="R847" i="34"/>
  <c r="S847" i="34"/>
  <c r="P848" i="34"/>
  <c r="Q848" i="34"/>
  <c r="R848" i="34"/>
  <c r="S848" i="34"/>
  <c r="P849" i="34"/>
  <c r="Q849" i="34"/>
  <c r="R849" i="34"/>
  <c r="S849" i="34"/>
  <c r="P850" i="34"/>
  <c r="Q850" i="34"/>
  <c r="R850" i="34"/>
  <c r="S850" i="34"/>
  <c r="P851" i="34"/>
  <c r="Q851" i="34"/>
  <c r="R851" i="34"/>
  <c r="S851" i="34"/>
  <c r="P852" i="34"/>
  <c r="Q852" i="34"/>
  <c r="R852" i="34"/>
  <c r="S852" i="34"/>
  <c r="P853" i="34"/>
  <c r="Q853" i="34"/>
  <c r="R853" i="34"/>
  <c r="S853" i="34"/>
  <c r="P854" i="34"/>
  <c r="Q854" i="34"/>
  <c r="R854" i="34"/>
  <c r="S854" i="34"/>
  <c r="P855" i="34"/>
  <c r="Q855" i="34"/>
  <c r="R855" i="34"/>
  <c r="S855" i="34"/>
  <c r="P856" i="34"/>
  <c r="Q856" i="34"/>
  <c r="R856" i="34"/>
  <c r="S856" i="34"/>
  <c r="P857" i="34"/>
  <c r="Q857" i="34"/>
  <c r="R857" i="34"/>
  <c r="S857" i="34"/>
  <c r="P858" i="34"/>
  <c r="Q858" i="34"/>
  <c r="R858" i="34"/>
  <c r="S858" i="34"/>
  <c r="P859" i="34"/>
  <c r="Q859" i="34"/>
  <c r="R859" i="34"/>
  <c r="S859" i="34"/>
  <c r="P860" i="34"/>
  <c r="Q860" i="34"/>
  <c r="R860" i="34"/>
  <c r="S860" i="34"/>
  <c r="P861" i="34"/>
  <c r="Q861" i="34"/>
  <c r="R861" i="34"/>
  <c r="S861" i="34"/>
  <c r="P862" i="34"/>
  <c r="Q862" i="34"/>
  <c r="R862" i="34"/>
  <c r="S862" i="34"/>
  <c r="P863" i="34"/>
  <c r="Q863" i="34"/>
  <c r="R863" i="34"/>
  <c r="S863" i="34"/>
  <c r="P864" i="34"/>
  <c r="Q864" i="34"/>
  <c r="R864" i="34"/>
  <c r="S864" i="34"/>
  <c r="P865" i="34"/>
  <c r="Q865" i="34"/>
  <c r="R865" i="34"/>
  <c r="S865" i="34"/>
  <c r="P866" i="34"/>
  <c r="Q866" i="34"/>
  <c r="R866" i="34"/>
  <c r="S866" i="34"/>
  <c r="P867" i="34"/>
  <c r="Q867" i="34"/>
  <c r="R867" i="34"/>
  <c r="S867" i="34"/>
  <c r="P868" i="34"/>
  <c r="Q868" i="34"/>
  <c r="R868" i="34"/>
  <c r="S868" i="34"/>
  <c r="P869" i="34"/>
  <c r="Q869" i="34"/>
  <c r="R869" i="34"/>
  <c r="S869" i="34"/>
  <c r="P870" i="34"/>
  <c r="Q870" i="34"/>
  <c r="R870" i="34"/>
  <c r="S870" i="34"/>
  <c r="P871" i="34"/>
  <c r="Q871" i="34"/>
  <c r="R871" i="34"/>
  <c r="S871" i="34"/>
  <c r="P872" i="34"/>
  <c r="Q872" i="34"/>
  <c r="R872" i="34"/>
  <c r="S872" i="34"/>
  <c r="P873" i="34"/>
  <c r="Q873" i="34"/>
  <c r="R873" i="34"/>
  <c r="S873" i="34"/>
  <c r="P874" i="34"/>
  <c r="Q874" i="34"/>
  <c r="R874" i="34"/>
  <c r="S874" i="34"/>
  <c r="P875" i="34"/>
  <c r="Q875" i="34"/>
  <c r="R875" i="34"/>
  <c r="S875" i="34"/>
  <c r="P876" i="34"/>
  <c r="Q876" i="34"/>
  <c r="R876" i="34"/>
  <c r="S876" i="34"/>
  <c r="P877" i="34"/>
  <c r="Q877" i="34"/>
  <c r="R877" i="34"/>
  <c r="S877" i="34"/>
  <c r="P878" i="34"/>
  <c r="Q878" i="34"/>
  <c r="R878" i="34"/>
  <c r="S878" i="34"/>
  <c r="P879" i="34"/>
  <c r="Q879" i="34"/>
  <c r="R879" i="34"/>
  <c r="S879" i="34"/>
  <c r="P880" i="34"/>
  <c r="Q880" i="34"/>
  <c r="R880" i="34"/>
  <c r="S880" i="34"/>
  <c r="P881" i="34"/>
  <c r="Q881" i="34"/>
  <c r="R881" i="34"/>
  <c r="S881" i="34"/>
  <c r="P882" i="34"/>
  <c r="Q882" i="34"/>
  <c r="R882" i="34"/>
  <c r="S882" i="34"/>
  <c r="P883" i="34"/>
  <c r="Q883" i="34"/>
  <c r="R883" i="34"/>
  <c r="S883" i="34"/>
  <c r="P884" i="34"/>
  <c r="Q884" i="34"/>
  <c r="R884" i="34"/>
  <c r="S884" i="34"/>
  <c r="P885" i="34"/>
  <c r="Q885" i="34"/>
  <c r="R885" i="34"/>
  <c r="S885" i="34"/>
  <c r="P886" i="34"/>
  <c r="Q886" i="34"/>
  <c r="R886" i="34"/>
  <c r="S886" i="34"/>
  <c r="P887" i="34"/>
  <c r="Q887" i="34"/>
  <c r="R887" i="34"/>
  <c r="S887" i="34"/>
  <c r="P888" i="34"/>
  <c r="Q888" i="34"/>
  <c r="R888" i="34"/>
  <c r="S888" i="34"/>
  <c r="P889" i="34"/>
  <c r="Q889" i="34"/>
  <c r="R889" i="34"/>
  <c r="S889" i="34"/>
  <c r="P890" i="34"/>
  <c r="Q890" i="34"/>
  <c r="R890" i="34"/>
  <c r="S890" i="34"/>
  <c r="P891" i="34"/>
  <c r="Q891" i="34"/>
  <c r="R891" i="34"/>
  <c r="S891" i="34"/>
  <c r="P892" i="34"/>
  <c r="Q892" i="34"/>
  <c r="R892" i="34"/>
  <c r="S892" i="34"/>
  <c r="P893" i="34"/>
  <c r="Q893" i="34"/>
  <c r="R893" i="34"/>
  <c r="S893" i="34"/>
  <c r="P894" i="34"/>
  <c r="Q894" i="34"/>
  <c r="R894" i="34"/>
  <c r="S894" i="34"/>
  <c r="P895" i="34"/>
  <c r="Q895" i="34"/>
  <c r="R895" i="34"/>
  <c r="S895" i="34"/>
  <c r="P896" i="34"/>
  <c r="Q896" i="34"/>
  <c r="R896" i="34"/>
  <c r="S896" i="34"/>
  <c r="P897" i="34"/>
  <c r="Q897" i="34"/>
  <c r="R897" i="34"/>
  <c r="S897" i="34"/>
  <c r="P898" i="34"/>
  <c r="Q898" i="34"/>
  <c r="R898" i="34"/>
  <c r="S898" i="34"/>
  <c r="P899" i="34"/>
  <c r="Q899" i="34"/>
  <c r="R899" i="34"/>
  <c r="S899" i="34"/>
  <c r="P900" i="34"/>
  <c r="Q900" i="34"/>
  <c r="R900" i="34"/>
  <c r="S900" i="34"/>
  <c r="P901" i="34"/>
  <c r="Q901" i="34"/>
  <c r="R901" i="34"/>
  <c r="S901" i="34"/>
  <c r="P902" i="34"/>
  <c r="Q902" i="34"/>
  <c r="R902" i="34"/>
  <c r="S902" i="34"/>
  <c r="P903" i="34"/>
  <c r="Q903" i="34"/>
  <c r="R903" i="34"/>
  <c r="S903" i="34"/>
  <c r="P904" i="34"/>
  <c r="Q904" i="34"/>
  <c r="R904" i="34"/>
  <c r="S904" i="34"/>
  <c r="P905" i="34"/>
  <c r="Q905" i="34"/>
  <c r="R905" i="34"/>
  <c r="S905" i="34"/>
  <c r="P906" i="34"/>
  <c r="Q906" i="34"/>
  <c r="R906" i="34"/>
  <c r="S906" i="34"/>
  <c r="P907" i="34"/>
  <c r="Q907" i="34"/>
  <c r="R907" i="34"/>
  <c r="S907" i="34"/>
  <c r="P908" i="34"/>
  <c r="Q908" i="34"/>
  <c r="R908" i="34"/>
  <c r="S908" i="34"/>
  <c r="P909" i="34"/>
  <c r="Q909" i="34"/>
  <c r="R909" i="34"/>
  <c r="S909" i="34"/>
  <c r="P910" i="34"/>
  <c r="Q910" i="34"/>
  <c r="R910" i="34"/>
  <c r="S910" i="34"/>
  <c r="P911" i="34"/>
  <c r="Q911" i="34"/>
  <c r="R911" i="34"/>
  <c r="S911" i="34"/>
  <c r="P912" i="34"/>
  <c r="Q912" i="34"/>
  <c r="R912" i="34"/>
  <c r="S912" i="34"/>
  <c r="P913" i="34"/>
  <c r="Q913" i="34"/>
  <c r="R913" i="34"/>
  <c r="S913" i="34"/>
  <c r="P914" i="34"/>
  <c r="Q914" i="34"/>
  <c r="R914" i="34"/>
  <c r="S914" i="34"/>
  <c r="P915" i="34"/>
  <c r="Q915" i="34"/>
  <c r="R915" i="34"/>
  <c r="S915" i="34"/>
  <c r="P916" i="34"/>
  <c r="Q916" i="34"/>
  <c r="R916" i="34"/>
  <c r="S916" i="34"/>
  <c r="P917" i="34"/>
  <c r="Q917" i="34"/>
  <c r="R917" i="34"/>
  <c r="S917" i="34"/>
  <c r="P918" i="34"/>
  <c r="Q918" i="34"/>
  <c r="R918" i="34"/>
  <c r="S918" i="34"/>
  <c r="P919" i="34"/>
  <c r="Q919" i="34"/>
  <c r="R919" i="34"/>
  <c r="S919" i="34"/>
  <c r="P920" i="34"/>
  <c r="Q920" i="34"/>
  <c r="R920" i="34"/>
  <c r="S920" i="34"/>
  <c r="P921" i="34"/>
  <c r="Q921" i="34"/>
  <c r="R921" i="34"/>
  <c r="S921" i="34"/>
  <c r="P922" i="34"/>
  <c r="Q922" i="34"/>
  <c r="R922" i="34"/>
  <c r="S922" i="34"/>
  <c r="P923" i="34"/>
  <c r="Q923" i="34"/>
  <c r="R923" i="34"/>
  <c r="S923" i="34"/>
  <c r="P924" i="34"/>
  <c r="Q924" i="34"/>
  <c r="R924" i="34"/>
  <c r="S924" i="34"/>
  <c r="P925" i="34"/>
  <c r="Q925" i="34"/>
  <c r="R925" i="34"/>
  <c r="S925" i="34"/>
  <c r="P926" i="34"/>
  <c r="Q926" i="34"/>
  <c r="R926" i="34"/>
  <c r="S926" i="34"/>
  <c r="P927" i="34"/>
  <c r="Q927" i="34"/>
  <c r="R927" i="34"/>
  <c r="S927" i="34"/>
  <c r="P928" i="34"/>
  <c r="Q928" i="34"/>
  <c r="R928" i="34"/>
  <c r="S928" i="34"/>
  <c r="P929" i="34"/>
  <c r="Q929" i="34"/>
  <c r="R929" i="34"/>
  <c r="S929" i="34"/>
  <c r="P930" i="34"/>
  <c r="Q930" i="34"/>
  <c r="R930" i="34"/>
  <c r="S930" i="34"/>
  <c r="P931" i="34"/>
  <c r="Q931" i="34"/>
  <c r="R931" i="34"/>
  <c r="S931" i="34"/>
  <c r="P932" i="34"/>
  <c r="Q932" i="34"/>
  <c r="R932" i="34"/>
  <c r="S932" i="34"/>
  <c r="P933" i="34"/>
  <c r="Q933" i="34"/>
  <c r="R933" i="34"/>
  <c r="S933" i="34"/>
  <c r="P934" i="34"/>
  <c r="Q934" i="34"/>
  <c r="R934" i="34"/>
  <c r="S934" i="34"/>
  <c r="P935" i="34"/>
  <c r="Q935" i="34"/>
  <c r="R935" i="34"/>
  <c r="S935" i="34"/>
  <c r="P936" i="34"/>
  <c r="Q936" i="34"/>
  <c r="R936" i="34"/>
  <c r="S936" i="34"/>
  <c r="P937" i="34"/>
  <c r="Q937" i="34"/>
  <c r="R937" i="34"/>
  <c r="S937" i="34"/>
  <c r="P938" i="34"/>
  <c r="Q938" i="34"/>
  <c r="R938" i="34"/>
  <c r="S938" i="34"/>
  <c r="P939" i="34"/>
  <c r="Q939" i="34"/>
  <c r="R939" i="34"/>
  <c r="S939" i="34"/>
  <c r="P940" i="34"/>
  <c r="Q940" i="34"/>
  <c r="R940" i="34"/>
  <c r="S940" i="34"/>
  <c r="P941" i="34"/>
  <c r="Q941" i="34"/>
  <c r="R941" i="34"/>
  <c r="S941" i="34"/>
  <c r="P942" i="34"/>
  <c r="Q942" i="34"/>
  <c r="R942" i="34"/>
  <c r="S942" i="34"/>
  <c r="P943" i="34"/>
  <c r="Q943" i="34"/>
  <c r="R943" i="34"/>
  <c r="S943" i="34"/>
  <c r="P944" i="34"/>
  <c r="Q944" i="34"/>
  <c r="R944" i="34"/>
  <c r="S944" i="34"/>
  <c r="P945" i="34"/>
  <c r="Q945" i="34"/>
  <c r="R945" i="34"/>
  <c r="S945" i="34"/>
  <c r="P946" i="34"/>
  <c r="Q946" i="34"/>
  <c r="R946" i="34"/>
  <c r="S946" i="34"/>
  <c r="P947" i="34"/>
  <c r="Q947" i="34"/>
  <c r="R947" i="34"/>
  <c r="S947" i="34"/>
  <c r="P948" i="34"/>
  <c r="Q948" i="34"/>
  <c r="R948" i="34"/>
  <c r="S948" i="34"/>
  <c r="P949" i="34"/>
  <c r="Q949" i="34"/>
  <c r="R949" i="34"/>
  <c r="S949" i="34"/>
  <c r="P950" i="34"/>
  <c r="Q950" i="34"/>
  <c r="R950" i="34"/>
  <c r="S950" i="34"/>
  <c r="P951" i="34"/>
  <c r="Q951" i="34"/>
  <c r="R951" i="34"/>
  <c r="S951" i="34"/>
  <c r="P952" i="34"/>
  <c r="Q952" i="34"/>
  <c r="R952" i="34"/>
  <c r="S952" i="34"/>
  <c r="P953" i="34"/>
  <c r="Q953" i="34"/>
  <c r="R953" i="34"/>
  <c r="S953" i="34"/>
  <c r="P954" i="34"/>
  <c r="Q954" i="34"/>
  <c r="R954" i="34"/>
  <c r="S954" i="34"/>
  <c r="P955" i="34"/>
  <c r="Q955" i="34"/>
  <c r="R955" i="34"/>
  <c r="S955" i="34"/>
  <c r="P956" i="34"/>
  <c r="Q956" i="34"/>
  <c r="R956" i="34"/>
  <c r="S956" i="34"/>
  <c r="P957" i="34"/>
  <c r="Q957" i="34"/>
  <c r="R957" i="34"/>
  <c r="S957" i="34"/>
  <c r="P958" i="34"/>
  <c r="Q958" i="34"/>
  <c r="R958" i="34"/>
  <c r="S958" i="34"/>
  <c r="P959" i="34"/>
  <c r="Q959" i="34"/>
  <c r="R959" i="34"/>
  <c r="S959" i="34"/>
  <c r="P960" i="34"/>
  <c r="Q960" i="34"/>
  <c r="R960" i="34"/>
  <c r="S960" i="34"/>
  <c r="P961" i="34"/>
  <c r="Q961" i="34"/>
  <c r="R961" i="34"/>
  <c r="S961" i="34"/>
  <c r="P962" i="34"/>
  <c r="Q962" i="34"/>
  <c r="R962" i="34"/>
  <c r="S962" i="34"/>
  <c r="P963" i="34"/>
  <c r="Q963" i="34"/>
  <c r="R963" i="34"/>
  <c r="S963" i="34"/>
  <c r="P964" i="34"/>
  <c r="Q964" i="34"/>
  <c r="R964" i="34"/>
  <c r="S964" i="34"/>
  <c r="P965" i="34"/>
  <c r="Q965" i="34"/>
  <c r="R965" i="34"/>
  <c r="S965" i="34"/>
  <c r="P966" i="34"/>
  <c r="Q966" i="34"/>
  <c r="R966" i="34"/>
  <c r="S966" i="34"/>
  <c r="P967" i="34"/>
  <c r="Q967" i="34"/>
  <c r="R967" i="34"/>
  <c r="S967" i="34"/>
  <c r="P968" i="34"/>
  <c r="Q968" i="34"/>
  <c r="R968" i="34"/>
  <c r="S968" i="34"/>
  <c r="P969" i="34"/>
  <c r="Q969" i="34"/>
  <c r="R969" i="34"/>
  <c r="S969" i="34"/>
  <c r="P970" i="34"/>
  <c r="Q970" i="34"/>
  <c r="R970" i="34"/>
  <c r="S970" i="34"/>
  <c r="P971" i="34"/>
  <c r="Q971" i="34"/>
  <c r="R971" i="34"/>
  <c r="S971" i="34"/>
  <c r="P972" i="34"/>
  <c r="Q972" i="34"/>
  <c r="R972" i="34"/>
  <c r="S972" i="34"/>
  <c r="P973" i="34"/>
  <c r="Q973" i="34"/>
  <c r="R973" i="34"/>
  <c r="S973" i="34"/>
  <c r="P974" i="34"/>
  <c r="Q974" i="34"/>
  <c r="R974" i="34"/>
  <c r="S974" i="34"/>
  <c r="P975" i="34"/>
  <c r="Q975" i="34"/>
  <c r="R975" i="34"/>
  <c r="S975" i="34"/>
  <c r="P976" i="34"/>
  <c r="Q976" i="34"/>
  <c r="R976" i="34"/>
  <c r="S976" i="34"/>
  <c r="P977" i="34"/>
  <c r="Q977" i="34"/>
  <c r="R977" i="34"/>
  <c r="S977" i="34"/>
  <c r="P978" i="34"/>
  <c r="Q978" i="34"/>
  <c r="R978" i="34"/>
  <c r="S978" i="34"/>
  <c r="P979" i="34"/>
  <c r="Q979" i="34"/>
  <c r="R979" i="34"/>
  <c r="S979" i="34"/>
  <c r="P980" i="34"/>
  <c r="Q980" i="34"/>
  <c r="R980" i="34"/>
  <c r="S980" i="34"/>
  <c r="P981" i="34"/>
  <c r="Q981" i="34"/>
  <c r="R981" i="34"/>
  <c r="S981" i="34"/>
  <c r="P982" i="34"/>
  <c r="Q982" i="34"/>
  <c r="R982" i="34"/>
  <c r="S982" i="34"/>
  <c r="P983" i="34"/>
  <c r="Q983" i="34"/>
  <c r="R983" i="34"/>
  <c r="S983" i="34"/>
  <c r="P984" i="34"/>
  <c r="Q984" i="34"/>
  <c r="R984" i="34"/>
  <c r="S984" i="34"/>
  <c r="P985" i="34"/>
  <c r="Q985" i="34"/>
  <c r="R985" i="34"/>
  <c r="S985" i="34"/>
  <c r="P986" i="34"/>
  <c r="Q986" i="34"/>
  <c r="R986" i="34"/>
  <c r="S986" i="34"/>
  <c r="P987" i="34"/>
  <c r="Q987" i="34"/>
  <c r="R987" i="34"/>
  <c r="S987" i="34"/>
  <c r="P988" i="34"/>
  <c r="Q988" i="34"/>
  <c r="R988" i="34"/>
  <c r="S988" i="34"/>
  <c r="P989" i="34"/>
  <c r="Q989" i="34"/>
  <c r="R989" i="34"/>
  <c r="S989" i="34"/>
  <c r="P990" i="34"/>
  <c r="Q990" i="34"/>
  <c r="R990" i="34"/>
  <c r="S990" i="34"/>
  <c r="P991" i="34"/>
  <c r="Q991" i="34"/>
  <c r="R991" i="34"/>
  <c r="S991" i="34"/>
  <c r="P992" i="34"/>
  <c r="Q992" i="34"/>
  <c r="R992" i="34"/>
  <c r="S992" i="34"/>
  <c r="P993" i="34"/>
  <c r="Q993" i="34"/>
  <c r="R993" i="34"/>
  <c r="S993" i="34"/>
  <c r="P994" i="34"/>
  <c r="Q994" i="34"/>
  <c r="R994" i="34"/>
  <c r="S994" i="34"/>
  <c r="P995" i="34"/>
  <c r="Q995" i="34"/>
  <c r="R995" i="34"/>
  <c r="S995" i="34"/>
  <c r="P996" i="34"/>
  <c r="Q996" i="34"/>
  <c r="R996" i="34"/>
  <c r="S996" i="34"/>
  <c r="P997" i="34"/>
  <c r="Q997" i="34"/>
  <c r="R997" i="34"/>
  <c r="S997" i="34"/>
  <c r="P998" i="34"/>
  <c r="Q998" i="34"/>
  <c r="R998" i="34"/>
  <c r="S998" i="34"/>
  <c r="P999" i="34"/>
  <c r="Q999" i="34"/>
  <c r="R999" i="34"/>
  <c r="S999" i="34"/>
  <c r="P1000" i="34"/>
  <c r="Q1000" i="34"/>
  <c r="R1000" i="34"/>
  <c r="S1000" i="34"/>
  <c r="P1001" i="34"/>
  <c r="Q1001" i="34"/>
  <c r="R1001" i="34"/>
  <c r="S1001" i="34"/>
  <c r="P1002" i="34"/>
  <c r="Q1002" i="34"/>
  <c r="R1002" i="34"/>
  <c r="S1002" i="34"/>
  <c r="P1003" i="34"/>
  <c r="Q1003" i="34"/>
  <c r="R1003" i="34"/>
  <c r="S1003" i="34"/>
  <c r="P1004" i="34"/>
  <c r="Q1004" i="34"/>
  <c r="R1004" i="34"/>
  <c r="S1004" i="34"/>
  <c r="P1005" i="34"/>
  <c r="Q1005" i="34"/>
  <c r="R1005" i="34"/>
  <c r="S1005" i="34"/>
  <c r="P1006" i="34"/>
  <c r="Q1006" i="34"/>
  <c r="R1006" i="34"/>
  <c r="S1006" i="34"/>
  <c r="P1007" i="34"/>
  <c r="Q1007" i="34"/>
  <c r="R1007" i="34"/>
  <c r="S1007" i="34"/>
  <c r="P1008" i="34"/>
  <c r="Q1008" i="34"/>
  <c r="R1008" i="34"/>
  <c r="S1008" i="34"/>
  <c r="P1009" i="34"/>
  <c r="Q1009" i="34"/>
  <c r="R1009" i="34"/>
  <c r="S1009" i="34"/>
  <c r="P1010" i="34"/>
  <c r="Q1010" i="34"/>
  <c r="R1010" i="34"/>
  <c r="S1010" i="34"/>
  <c r="P1011" i="34"/>
  <c r="Q1011" i="34"/>
  <c r="R1011" i="34"/>
  <c r="S1011" i="34"/>
  <c r="P1012" i="34"/>
  <c r="Q1012" i="34"/>
  <c r="R1012" i="34"/>
  <c r="S1012" i="34"/>
  <c r="P1013" i="34"/>
  <c r="Q1013" i="34"/>
  <c r="R1013" i="34"/>
  <c r="S1013" i="34"/>
  <c r="P1014" i="34"/>
  <c r="Q1014" i="34"/>
  <c r="R1014" i="34"/>
  <c r="S1014" i="34"/>
  <c r="P1015" i="34"/>
  <c r="Q1015" i="34"/>
  <c r="R1015" i="34"/>
  <c r="S1015" i="34"/>
  <c r="P1016" i="34"/>
  <c r="Q1016" i="34"/>
  <c r="R1016" i="34"/>
  <c r="S1016" i="34"/>
  <c r="P1017" i="34"/>
  <c r="Q1017" i="34"/>
  <c r="R1017" i="34"/>
  <c r="S1017" i="34"/>
  <c r="P1018" i="34"/>
  <c r="Q1018" i="34"/>
  <c r="R1018" i="34"/>
  <c r="S1018" i="34"/>
  <c r="P1019" i="34"/>
  <c r="Q1019" i="34"/>
  <c r="R1019" i="34"/>
  <c r="S1019" i="34"/>
  <c r="P1020" i="34"/>
  <c r="Q1020" i="34"/>
  <c r="R1020" i="34"/>
  <c r="S1020" i="34"/>
  <c r="P1021" i="34"/>
  <c r="Q1021" i="34"/>
  <c r="R1021" i="34"/>
  <c r="S1021" i="34"/>
  <c r="P1022" i="34"/>
  <c r="Q1022" i="34"/>
  <c r="R1022" i="34"/>
  <c r="S1022" i="34"/>
  <c r="P1023" i="34"/>
  <c r="Q1023" i="34"/>
  <c r="R1023" i="34"/>
  <c r="S1023" i="34"/>
  <c r="P1024" i="34"/>
  <c r="Q1024" i="34"/>
  <c r="R1024" i="34"/>
  <c r="S1024" i="34"/>
  <c r="P1025" i="34"/>
  <c r="Q1025" i="34"/>
  <c r="R1025" i="34"/>
  <c r="S1025" i="34"/>
  <c r="P1026" i="34"/>
  <c r="Q1026" i="34"/>
  <c r="R1026" i="34"/>
  <c r="S1026" i="34"/>
  <c r="P1027" i="34"/>
  <c r="Q1027" i="34"/>
  <c r="R1027" i="34"/>
  <c r="S1027" i="34"/>
  <c r="P1028" i="34"/>
  <c r="Q1028" i="34"/>
  <c r="R1028" i="34"/>
  <c r="S1028" i="34"/>
  <c r="P1029" i="34"/>
  <c r="Q1029" i="34"/>
  <c r="R1029" i="34"/>
  <c r="S1029" i="34"/>
  <c r="P1030" i="34"/>
  <c r="Q1030" i="34"/>
  <c r="R1030" i="34"/>
  <c r="S1030" i="34"/>
  <c r="P1031" i="34"/>
  <c r="Q1031" i="34"/>
  <c r="R1031" i="34"/>
  <c r="S1031" i="34"/>
  <c r="P1032" i="34"/>
  <c r="Q1032" i="34"/>
  <c r="R1032" i="34"/>
  <c r="S1032" i="34"/>
  <c r="P1033" i="34"/>
  <c r="Q1033" i="34"/>
  <c r="R1033" i="34"/>
  <c r="S1033" i="34"/>
  <c r="P1034" i="34"/>
  <c r="Q1034" i="34"/>
  <c r="R1034" i="34"/>
  <c r="S1034" i="34"/>
  <c r="P1035" i="34"/>
  <c r="Q1035" i="34"/>
  <c r="R1035" i="34"/>
  <c r="S1035" i="34"/>
  <c r="P1036" i="34"/>
  <c r="Q1036" i="34"/>
  <c r="R1036" i="34"/>
  <c r="S1036" i="34"/>
  <c r="P1037" i="34"/>
  <c r="Q1037" i="34"/>
  <c r="R1037" i="34"/>
  <c r="S1037" i="34"/>
  <c r="P1038" i="34"/>
  <c r="Q1038" i="34"/>
  <c r="R1038" i="34"/>
  <c r="S1038" i="34"/>
  <c r="P1039" i="34"/>
  <c r="Q1039" i="34"/>
  <c r="R1039" i="34"/>
  <c r="S1039" i="34"/>
  <c r="P1040" i="34"/>
  <c r="Q1040" i="34"/>
  <c r="R1040" i="34"/>
  <c r="S1040" i="34"/>
  <c r="P1041" i="34"/>
  <c r="Q1041" i="34"/>
  <c r="R1041" i="34"/>
  <c r="S1041" i="34"/>
  <c r="P1042" i="34"/>
  <c r="Q1042" i="34"/>
  <c r="R1042" i="34"/>
  <c r="S1042" i="34"/>
  <c r="P1043" i="34"/>
  <c r="Q1043" i="34"/>
  <c r="R1043" i="34"/>
  <c r="S1043" i="34"/>
  <c r="P1044" i="34"/>
  <c r="Q1044" i="34"/>
  <c r="R1044" i="34"/>
  <c r="S1044" i="34"/>
  <c r="P1045" i="34"/>
  <c r="Q1045" i="34"/>
  <c r="R1045" i="34"/>
  <c r="S1045" i="34"/>
  <c r="P1046" i="34"/>
  <c r="Q1046" i="34"/>
  <c r="R1046" i="34"/>
  <c r="S1046" i="34"/>
  <c r="P1047" i="34"/>
  <c r="Q1047" i="34"/>
  <c r="R1047" i="34"/>
  <c r="S1047" i="34"/>
  <c r="P1048" i="34"/>
  <c r="Q1048" i="34"/>
  <c r="R1048" i="34"/>
  <c r="S1048" i="34"/>
  <c r="P1049" i="34"/>
  <c r="Q1049" i="34"/>
  <c r="R1049" i="34"/>
  <c r="S1049" i="34"/>
  <c r="P1050" i="34"/>
  <c r="Q1050" i="34"/>
  <c r="R1050" i="34"/>
  <c r="S1050" i="34"/>
  <c r="P1051" i="34"/>
  <c r="Q1051" i="34"/>
  <c r="R1051" i="34"/>
  <c r="S1051" i="34"/>
  <c r="P1052" i="34"/>
  <c r="Q1052" i="34"/>
  <c r="R1052" i="34"/>
  <c r="S1052" i="34"/>
  <c r="P1053" i="34"/>
  <c r="Q1053" i="34"/>
  <c r="R1053" i="34"/>
  <c r="S1053" i="34"/>
  <c r="P1054" i="34"/>
  <c r="Q1054" i="34"/>
  <c r="R1054" i="34"/>
  <c r="S1054" i="34"/>
  <c r="P1055" i="34"/>
  <c r="Q1055" i="34"/>
  <c r="R1055" i="34"/>
  <c r="S1055" i="34"/>
  <c r="P1056" i="34"/>
  <c r="Q1056" i="34"/>
  <c r="R1056" i="34"/>
  <c r="S1056" i="34"/>
  <c r="P1057" i="34"/>
  <c r="Q1057" i="34"/>
  <c r="R1057" i="34"/>
  <c r="S1057" i="34"/>
  <c r="P1058" i="34"/>
  <c r="Q1058" i="34"/>
  <c r="R1058" i="34"/>
  <c r="S1058" i="34"/>
  <c r="P1059" i="34"/>
  <c r="Q1059" i="34"/>
  <c r="R1059" i="34"/>
  <c r="S1059" i="34"/>
  <c r="P1060" i="34"/>
  <c r="Q1060" i="34"/>
  <c r="R1060" i="34"/>
  <c r="S1060" i="34"/>
  <c r="P1061" i="34"/>
  <c r="Q1061" i="34"/>
  <c r="R1061" i="34"/>
  <c r="S1061" i="34"/>
  <c r="P1062" i="34"/>
  <c r="Q1062" i="34"/>
  <c r="R1062" i="34"/>
  <c r="S1062" i="34"/>
  <c r="P1063" i="34"/>
  <c r="Q1063" i="34"/>
  <c r="R1063" i="34"/>
  <c r="S1063" i="34"/>
  <c r="P1064" i="34"/>
  <c r="Q1064" i="34"/>
  <c r="R1064" i="34"/>
  <c r="S1064" i="34"/>
  <c r="P1065" i="34"/>
  <c r="Q1065" i="34"/>
  <c r="R1065" i="34"/>
  <c r="S1065" i="34"/>
  <c r="P1066" i="34"/>
  <c r="Q1066" i="34"/>
  <c r="R1066" i="34"/>
  <c r="S1066" i="34"/>
  <c r="P1067" i="34"/>
  <c r="Q1067" i="34"/>
  <c r="R1067" i="34"/>
  <c r="S1067" i="34"/>
  <c r="P1068" i="34"/>
  <c r="Q1068" i="34"/>
  <c r="R1068" i="34"/>
  <c r="S1068" i="34"/>
  <c r="P1069" i="34"/>
  <c r="Q1069" i="34"/>
  <c r="R1069" i="34"/>
  <c r="S1069" i="34"/>
  <c r="P1070" i="34"/>
  <c r="Q1070" i="34"/>
  <c r="R1070" i="34"/>
  <c r="S1070" i="34"/>
  <c r="P1071" i="34"/>
  <c r="Q1071" i="34"/>
  <c r="R1071" i="34"/>
  <c r="S1071" i="34"/>
  <c r="P1072" i="34"/>
  <c r="Q1072" i="34"/>
  <c r="R1072" i="34"/>
  <c r="S1072" i="34"/>
  <c r="P1073" i="34"/>
  <c r="Q1073" i="34"/>
  <c r="R1073" i="34"/>
  <c r="S1073" i="34"/>
  <c r="P1074" i="34"/>
  <c r="Q1074" i="34"/>
  <c r="R1074" i="34"/>
  <c r="S1074" i="34"/>
  <c r="P1075" i="34"/>
  <c r="Q1075" i="34"/>
  <c r="R1075" i="34"/>
  <c r="S1075" i="34"/>
  <c r="P1076" i="34"/>
  <c r="Q1076" i="34"/>
  <c r="R1076" i="34"/>
  <c r="S1076" i="34"/>
  <c r="P1077" i="34"/>
  <c r="Q1077" i="34"/>
  <c r="R1077" i="34"/>
  <c r="S1077" i="34"/>
  <c r="P1078" i="34"/>
  <c r="Q1078" i="34"/>
  <c r="R1078" i="34"/>
  <c r="S1078" i="34"/>
  <c r="P1079" i="34"/>
  <c r="Q1079" i="34"/>
  <c r="R1079" i="34"/>
  <c r="S1079" i="34"/>
  <c r="P1080" i="34"/>
  <c r="Q1080" i="34"/>
  <c r="R1080" i="34"/>
  <c r="S1080" i="34"/>
  <c r="P1081" i="34"/>
  <c r="Q1081" i="34"/>
  <c r="R1081" i="34"/>
  <c r="S1081" i="34"/>
  <c r="P1082" i="34"/>
  <c r="Q1082" i="34"/>
  <c r="R1082" i="34"/>
  <c r="S1082" i="34"/>
  <c r="P1083" i="34"/>
  <c r="Q1083" i="34"/>
  <c r="R1083" i="34"/>
  <c r="S1083" i="34"/>
  <c r="P1084" i="34"/>
  <c r="Q1084" i="34"/>
  <c r="R1084" i="34"/>
  <c r="S1084" i="34"/>
  <c r="P1085" i="34"/>
  <c r="Q1085" i="34"/>
  <c r="R1085" i="34"/>
  <c r="S1085" i="34"/>
  <c r="P1086" i="34"/>
  <c r="Q1086" i="34"/>
  <c r="R1086" i="34"/>
  <c r="S1086" i="34"/>
  <c r="P1087" i="34"/>
  <c r="Q1087" i="34"/>
  <c r="R1087" i="34"/>
  <c r="S1087" i="34"/>
  <c r="P1088" i="34"/>
  <c r="Q1088" i="34"/>
  <c r="R1088" i="34"/>
  <c r="S1088" i="34"/>
  <c r="P1089" i="34"/>
  <c r="Q1089" i="34"/>
  <c r="R1089" i="34"/>
  <c r="S1089" i="34"/>
  <c r="P1090" i="34"/>
  <c r="Q1090" i="34"/>
  <c r="R1090" i="34"/>
  <c r="S1090" i="34"/>
  <c r="P1091" i="34"/>
  <c r="Q1091" i="34"/>
  <c r="R1091" i="34"/>
  <c r="S1091" i="34"/>
  <c r="P1092" i="34"/>
  <c r="Q1092" i="34"/>
  <c r="R1092" i="34"/>
  <c r="S1092" i="34"/>
  <c r="P1093" i="34"/>
  <c r="Q1093" i="34"/>
  <c r="R1093" i="34"/>
  <c r="S1093" i="34"/>
  <c r="P1094" i="34"/>
  <c r="Q1094" i="34"/>
  <c r="R1094" i="34"/>
  <c r="S1094" i="34"/>
  <c r="P1095" i="34"/>
  <c r="Q1095" i="34"/>
  <c r="R1095" i="34"/>
  <c r="S1095" i="34"/>
  <c r="P1096" i="34"/>
  <c r="Q1096" i="34"/>
  <c r="R1096" i="34"/>
  <c r="S1096" i="34"/>
  <c r="P1097" i="34"/>
  <c r="Q1097" i="34"/>
  <c r="R1097" i="34"/>
  <c r="S1097" i="34"/>
  <c r="P1098" i="34"/>
  <c r="Q1098" i="34"/>
  <c r="R1098" i="34"/>
  <c r="S1098" i="34"/>
  <c r="P1099" i="34"/>
  <c r="Q1099" i="34"/>
  <c r="R1099" i="34"/>
  <c r="S1099" i="34"/>
  <c r="P1100" i="34"/>
  <c r="Q1100" i="34"/>
  <c r="R1100" i="34"/>
  <c r="S1100" i="34"/>
  <c r="P1101" i="34"/>
  <c r="Q1101" i="34"/>
  <c r="R1101" i="34"/>
  <c r="S1101" i="34"/>
  <c r="P1102" i="34"/>
  <c r="Q1102" i="34"/>
  <c r="R1102" i="34"/>
  <c r="S1102" i="34"/>
  <c r="P1103" i="34"/>
  <c r="Q1103" i="34"/>
  <c r="R1103" i="34"/>
  <c r="S1103" i="34"/>
  <c r="P1104" i="34"/>
  <c r="Q1104" i="34"/>
  <c r="R1104" i="34"/>
  <c r="S1104" i="34"/>
  <c r="P1105" i="34"/>
  <c r="Q1105" i="34"/>
  <c r="R1105" i="34"/>
  <c r="S1105" i="34"/>
  <c r="P1106" i="34"/>
  <c r="Q1106" i="34"/>
  <c r="R1106" i="34"/>
  <c r="S1106" i="34"/>
  <c r="P1107" i="34"/>
  <c r="Q1107" i="34"/>
  <c r="R1107" i="34"/>
  <c r="S1107" i="34"/>
  <c r="P1108" i="34"/>
  <c r="Q1108" i="34"/>
  <c r="R1108" i="34"/>
  <c r="S1108" i="34"/>
  <c r="P1109" i="34"/>
  <c r="Q1109" i="34"/>
  <c r="R1109" i="34"/>
  <c r="S1109" i="34"/>
  <c r="P1110" i="34"/>
  <c r="Q1110" i="34"/>
  <c r="R1110" i="34"/>
  <c r="S1110" i="34"/>
  <c r="P1111" i="34"/>
  <c r="Q1111" i="34"/>
  <c r="R1111" i="34"/>
  <c r="S1111" i="34"/>
  <c r="P1112" i="34"/>
  <c r="Q1112" i="34"/>
  <c r="R1112" i="34"/>
  <c r="S1112" i="34"/>
  <c r="P1113" i="34"/>
  <c r="Q1113" i="34"/>
  <c r="R1113" i="34"/>
  <c r="S1113" i="34"/>
  <c r="P1114" i="34"/>
  <c r="Q1114" i="34"/>
  <c r="R1114" i="34"/>
  <c r="S1114" i="34"/>
  <c r="P1115" i="34"/>
  <c r="Q1115" i="34"/>
  <c r="R1115" i="34"/>
  <c r="S1115" i="34"/>
  <c r="P1116" i="34"/>
  <c r="Q1116" i="34"/>
  <c r="R1116" i="34"/>
  <c r="S1116" i="34"/>
  <c r="P1117" i="34"/>
  <c r="Q1117" i="34"/>
  <c r="R1117" i="34"/>
  <c r="S1117" i="34"/>
  <c r="P1118" i="34"/>
  <c r="Q1118" i="34"/>
  <c r="R1118" i="34"/>
  <c r="S1118" i="34"/>
  <c r="P1119" i="34"/>
  <c r="Q1119" i="34"/>
  <c r="R1119" i="34"/>
  <c r="S1119" i="34"/>
  <c r="P1120" i="34"/>
  <c r="Q1120" i="34"/>
  <c r="R1120" i="34"/>
  <c r="S1120" i="34"/>
  <c r="P1121" i="34"/>
  <c r="Q1121" i="34"/>
  <c r="R1121" i="34"/>
  <c r="S1121" i="34"/>
  <c r="P1122" i="34"/>
  <c r="Q1122" i="34"/>
  <c r="R1122" i="34"/>
  <c r="S1122" i="34"/>
  <c r="P1123" i="34"/>
  <c r="Q1123" i="34"/>
  <c r="R1123" i="34"/>
  <c r="S1123" i="34"/>
  <c r="P1124" i="34"/>
  <c r="Q1124" i="34"/>
  <c r="R1124" i="34"/>
  <c r="S1124" i="34"/>
  <c r="P1125" i="34"/>
  <c r="Q1125" i="34"/>
  <c r="R1125" i="34"/>
  <c r="S1125" i="34"/>
  <c r="P1126" i="34"/>
  <c r="Q1126" i="34"/>
  <c r="R1126" i="34"/>
  <c r="S1126" i="34"/>
  <c r="P1127" i="34"/>
  <c r="Q1127" i="34"/>
  <c r="R1127" i="34"/>
  <c r="S1127" i="34"/>
  <c r="P1128" i="34"/>
  <c r="Q1128" i="34"/>
  <c r="R1128" i="34"/>
  <c r="S1128" i="34"/>
  <c r="P1129" i="34"/>
  <c r="Q1129" i="34"/>
  <c r="R1129" i="34"/>
  <c r="S1129" i="34"/>
  <c r="P1130" i="34"/>
  <c r="Q1130" i="34"/>
  <c r="R1130" i="34"/>
  <c r="S1130" i="34"/>
  <c r="P1131" i="34"/>
  <c r="Q1131" i="34"/>
  <c r="R1131" i="34"/>
  <c r="S1131" i="34"/>
  <c r="P1132" i="34"/>
  <c r="Q1132" i="34"/>
  <c r="R1132" i="34"/>
  <c r="S1132" i="34"/>
  <c r="P1133" i="34"/>
  <c r="Q1133" i="34"/>
  <c r="R1133" i="34"/>
  <c r="S1133" i="34"/>
  <c r="P1134" i="34"/>
  <c r="Q1134" i="34"/>
  <c r="R1134" i="34"/>
  <c r="S1134" i="34"/>
  <c r="P1135" i="34"/>
  <c r="Q1135" i="34"/>
  <c r="R1135" i="34"/>
  <c r="S1135" i="34"/>
  <c r="P1136" i="34"/>
  <c r="Q1136" i="34"/>
  <c r="R1136" i="34"/>
  <c r="S1136" i="34"/>
  <c r="P1137" i="34"/>
  <c r="Q1137" i="34"/>
  <c r="R1137" i="34"/>
  <c r="S1137" i="34"/>
  <c r="P1138" i="34"/>
  <c r="Q1138" i="34"/>
  <c r="R1138" i="34"/>
  <c r="S1138" i="34"/>
  <c r="P1139" i="34"/>
  <c r="Q1139" i="34"/>
  <c r="R1139" i="34"/>
  <c r="S1139" i="34"/>
  <c r="P1140" i="34"/>
  <c r="Q1140" i="34"/>
  <c r="R1140" i="34"/>
  <c r="S1140" i="34"/>
  <c r="P1141" i="34"/>
  <c r="Q1141" i="34"/>
  <c r="R1141" i="34"/>
  <c r="S1141" i="34"/>
  <c r="P1142" i="34"/>
  <c r="Q1142" i="34"/>
  <c r="R1142" i="34"/>
  <c r="S1142" i="34"/>
  <c r="P1143" i="34"/>
  <c r="Q1143" i="34"/>
  <c r="R1143" i="34"/>
  <c r="S1143" i="34"/>
  <c r="P1144" i="34"/>
  <c r="Q1144" i="34"/>
  <c r="R1144" i="34"/>
  <c r="S1144" i="34"/>
  <c r="P1145" i="34"/>
  <c r="Q1145" i="34"/>
  <c r="R1145" i="34"/>
  <c r="S1145" i="34"/>
  <c r="P1146" i="34"/>
  <c r="Q1146" i="34"/>
  <c r="R1146" i="34"/>
  <c r="S1146" i="34"/>
  <c r="P1147" i="34"/>
  <c r="Q1147" i="34"/>
  <c r="R1147" i="34"/>
  <c r="S1147" i="34"/>
  <c r="P1148" i="34"/>
  <c r="Q1148" i="34"/>
  <c r="R1148" i="34"/>
  <c r="S1148" i="34"/>
  <c r="P1149" i="34"/>
  <c r="Q1149" i="34"/>
  <c r="R1149" i="34"/>
  <c r="S1149" i="34"/>
  <c r="P1150" i="34"/>
  <c r="Q1150" i="34"/>
  <c r="R1150" i="34"/>
  <c r="S1150" i="34"/>
  <c r="P1151" i="34"/>
  <c r="Q1151" i="34"/>
  <c r="R1151" i="34"/>
  <c r="S1151" i="34"/>
  <c r="P1152" i="34"/>
  <c r="Q1152" i="34"/>
  <c r="R1152" i="34"/>
  <c r="S1152" i="34"/>
  <c r="P1153" i="34"/>
  <c r="Q1153" i="34"/>
  <c r="R1153" i="34"/>
  <c r="S1153" i="34"/>
  <c r="P1154" i="34"/>
  <c r="Q1154" i="34"/>
  <c r="R1154" i="34"/>
  <c r="S1154" i="34"/>
  <c r="P1155" i="34"/>
  <c r="Q1155" i="34"/>
  <c r="R1155" i="34"/>
  <c r="S1155" i="34"/>
  <c r="P1156" i="34"/>
  <c r="Q1156" i="34"/>
  <c r="R1156" i="34"/>
  <c r="S1156" i="34"/>
  <c r="P1157" i="34"/>
  <c r="Q1157" i="34"/>
  <c r="R1157" i="34"/>
  <c r="S1157" i="34"/>
  <c r="P1158" i="34"/>
  <c r="Q1158" i="34"/>
  <c r="R1158" i="34"/>
  <c r="S1158" i="34"/>
  <c r="P1159" i="34"/>
  <c r="Q1159" i="34"/>
  <c r="R1159" i="34"/>
  <c r="S1159" i="34"/>
  <c r="P1160" i="34"/>
  <c r="Q1160" i="34"/>
  <c r="R1160" i="34"/>
  <c r="S1160" i="34"/>
  <c r="P1161" i="34"/>
  <c r="Q1161" i="34"/>
  <c r="R1161" i="34"/>
  <c r="S1161" i="34"/>
  <c r="P1162" i="34"/>
  <c r="Q1162" i="34"/>
  <c r="R1162" i="34"/>
  <c r="S1162" i="34"/>
  <c r="P1163" i="34"/>
  <c r="Q1163" i="34"/>
  <c r="R1163" i="34"/>
  <c r="S1163" i="34"/>
  <c r="P1164" i="34"/>
  <c r="Q1164" i="34"/>
  <c r="R1164" i="34"/>
  <c r="S1164" i="34"/>
  <c r="P1165" i="34"/>
  <c r="Q1165" i="34"/>
  <c r="R1165" i="34"/>
  <c r="S1165" i="34"/>
  <c r="P1166" i="34"/>
  <c r="Q1166" i="34"/>
  <c r="R1166" i="34"/>
  <c r="S1166" i="34"/>
  <c r="P1167" i="34"/>
  <c r="Q1167" i="34"/>
  <c r="R1167" i="34"/>
  <c r="S1167" i="34"/>
  <c r="P1168" i="34"/>
  <c r="Q1168" i="34"/>
  <c r="R1168" i="34"/>
  <c r="S1168" i="34"/>
  <c r="P1169" i="34"/>
  <c r="Q1169" i="34"/>
  <c r="R1169" i="34"/>
  <c r="S1169" i="34"/>
  <c r="P1170" i="34"/>
  <c r="Q1170" i="34"/>
  <c r="R1170" i="34"/>
  <c r="S1170" i="34"/>
  <c r="P1171" i="34"/>
  <c r="Q1171" i="34"/>
  <c r="R1171" i="34"/>
  <c r="S1171" i="34"/>
  <c r="P1172" i="34"/>
  <c r="Q1172" i="34"/>
  <c r="R1172" i="34"/>
  <c r="S1172" i="34"/>
  <c r="P1173" i="34"/>
  <c r="Q1173" i="34"/>
  <c r="R1173" i="34"/>
  <c r="S1173" i="34"/>
  <c r="P1174" i="34"/>
  <c r="Q1174" i="34"/>
  <c r="R1174" i="34"/>
  <c r="S1174" i="34"/>
  <c r="P1175" i="34"/>
  <c r="Q1175" i="34"/>
  <c r="R1175" i="34"/>
  <c r="S1175" i="34"/>
  <c r="P1176" i="34"/>
  <c r="Q1176" i="34"/>
  <c r="R1176" i="34"/>
  <c r="S1176" i="34"/>
  <c r="P1177" i="34"/>
  <c r="Q1177" i="34"/>
  <c r="R1177" i="34"/>
  <c r="S1177" i="34"/>
  <c r="P1178" i="34"/>
  <c r="Q1178" i="34"/>
  <c r="R1178" i="34"/>
  <c r="S1178" i="34"/>
  <c r="P1179" i="34"/>
  <c r="Q1179" i="34"/>
  <c r="R1179" i="34"/>
  <c r="S1179" i="34"/>
  <c r="P1180" i="34"/>
  <c r="Q1180" i="34"/>
  <c r="R1180" i="34"/>
  <c r="S1180" i="34"/>
  <c r="P1181" i="34"/>
  <c r="Q1181" i="34"/>
  <c r="R1181" i="34"/>
  <c r="S1181" i="34"/>
  <c r="P1182" i="34"/>
  <c r="Q1182" i="34"/>
  <c r="R1182" i="34"/>
  <c r="S1182" i="34"/>
  <c r="P1183" i="34"/>
  <c r="Q1183" i="34"/>
  <c r="R1183" i="34"/>
  <c r="S1183" i="34"/>
  <c r="P1184" i="34"/>
  <c r="Q1184" i="34"/>
  <c r="R1184" i="34"/>
  <c r="S1184" i="34"/>
  <c r="P1185" i="34"/>
  <c r="Q1185" i="34"/>
  <c r="R1185" i="34"/>
  <c r="S1185" i="34"/>
  <c r="P1186" i="34"/>
  <c r="Q1186" i="34"/>
  <c r="R1186" i="34"/>
  <c r="S1186" i="34"/>
  <c r="P1187" i="34"/>
  <c r="Q1187" i="34"/>
  <c r="R1187" i="34"/>
  <c r="S1187" i="34"/>
  <c r="P1188" i="34"/>
  <c r="Q1188" i="34"/>
  <c r="R1188" i="34"/>
  <c r="S1188" i="34"/>
  <c r="P1189" i="34"/>
  <c r="Q1189" i="34"/>
  <c r="R1189" i="34"/>
  <c r="S1189" i="34"/>
  <c r="P1190" i="34"/>
  <c r="Q1190" i="34"/>
  <c r="R1190" i="34"/>
  <c r="S1190" i="34"/>
  <c r="P1191" i="34"/>
  <c r="Q1191" i="34"/>
  <c r="R1191" i="34"/>
  <c r="S1191" i="34"/>
  <c r="P1192" i="34"/>
  <c r="Q1192" i="34"/>
  <c r="R1192" i="34"/>
  <c r="S1192" i="34"/>
  <c r="P1193" i="34"/>
  <c r="Q1193" i="34"/>
  <c r="R1193" i="34"/>
  <c r="S1193" i="34"/>
  <c r="P1194" i="34"/>
  <c r="Q1194" i="34"/>
  <c r="R1194" i="34"/>
  <c r="S1194" i="34"/>
  <c r="P1195" i="34"/>
  <c r="Q1195" i="34"/>
  <c r="R1195" i="34"/>
  <c r="S1195" i="34"/>
  <c r="P1196" i="34"/>
  <c r="Q1196" i="34"/>
  <c r="R1196" i="34"/>
  <c r="S1196" i="34"/>
  <c r="P1197" i="34"/>
  <c r="Q1197" i="34"/>
  <c r="R1197" i="34"/>
  <c r="S1197" i="34"/>
  <c r="P1198" i="34"/>
  <c r="Q1198" i="34"/>
  <c r="R1198" i="34"/>
  <c r="S1198" i="34"/>
  <c r="P1199" i="34"/>
  <c r="Q1199" i="34"/>
  <c r="R1199" i="34"/>
  <c r="S1199" i="34"/>
  <c r="P1200" i="34"/>
  <c r="Q1200" i="34"/>
  <c r="R1200" i="34"/>
  <c r="S1200" i="34"/>
  <c r="P1201" i="34"/>
  <c r="Q1201" i="34"/>
  <c r="R1201" i="34"/>
  <c r="S1201" i="34"/>
  <c r="P1202" i="34"/>
  <c r="Q1202" i="34"/>
  <c r="R1202" i="34"/>
  <c r="S1202" i="34"/>
  <c r="P1203" i="34"/>
  <c r="Q1203" i="34"/>
  <c r="R1203" i="34"/>
  <c r="S1203" i="34"/>
  <c r="P1204" i="34"/>
  <c r="Q1204" i="34"/>
  <c r="R1204" i="34"/>
  <c r="S1204" i="34"/>
  <c r="P1205" i="34"/>
  <c r="Q1205" i="34"/>
  <c r="R1205" i="34"/>
  <c r="S1205" i="34"/>
  <c r="P1206" i="34"/>
  <c r="Q1206" i="34"/>
  <c r="R1206" i="34"/>
  <c r="S1206" i="34"/>
  <c r="P1207" i="34"/>
  <c r="Q1207" i="34"/>
  <c r="R1207" i="34"/>
  <c r="S1207" i="34"/>
  <c r="P1208" i="34"/>
  <c r="Q1208" i="34"/>
  <c r="R1208" i="34"/>
  <c r="S1208" i="34"/>
  <c r="P1209" i="34"/>
  <c r="Q1209" i="34"/>
  <c r="R1209" i="34"/>
  <c r="S1209" i="34"/>
  <c r="P1210" i="34"/>
  <c r="Q1210" i="34"/>
  <c r="R1210" i="34"/>
  <c r="S1210" i="34"/>
  <c r="P1211" i="34"/>
  <c r="Q1211" i="34"/>
  <c r="R1211" i="34"/>
  <c r="S1211" i="34"/>
  <c r="P1212" i="34"/>
  <c r="Q1212" i="34"/>
  <c r="R1212" i="34"/>
  <c r="S1212" i="34"/>
  <c r="P1213" i="34"/>
  <c r="Q1213" i="34"/>
  <c r="R1213" i="34"/>
  <c r="S1213" i="34"/>
  <c r="P1214" i="34"/>
  <c r="Q1214" i="34"/>
  <c r="R1214" i="34"/>
  <c r="S1214" i="34"/>
  <c r="P1215" i="34"/>
  <c r="Q1215" i="34"/>
  <c r="R1215" i="34"/>
  <c r="S1215" i="34"/>
  <c r="P1216" i="34"/>
  <c r="Q1216" i="34"/>
  <c r="R1216" i="34"/>
  <c r="S1216" i="34"/>
  <c r="P1217" i="34"/>
  <c r="Q1217" i="34"/>
  <c r="R1217" i="34"/>
  <c r="S1217" i="34"/>
  <c r="P1218" i="34"/>
  <c r="Q1218" i="34"/>
  <c r="R1218" i="34"/>
  <c r="S1218" i="34"/>
  <c r="P1219" i="34"/>
  <c r="Q1219" i="34"/>
  <c r="R1219" i="34"/>
  <c r="S1219" i="34"/>
  <c r="P1220" i="34"/>
  <c r="Q1220" i="34"/>
  <c r="R1220" i="34"/>
  <c r="S1220" i="34"/>
  <c r="P1221" i="34"/>
  <c r="Q1221" i="34"/>
  <c r="R1221" i="34"/>
  <c r="S1221" i="34"/>
  <c r="P1222" i="34"/>
  <c r="Q1222" i="34"/>
  <c r="R1222" i="34"/>
  <c r="S1222" i="34"/>
  <c r="P1223" i="34"/>
  <c r="Q1223" i="34"/>
  <c r="R1223" i="34"/>
  <c r="S1223" i="34"/>
  <c r="P1224" i="34"/>
  <c r="Q1224" i="34"/>
  <c r="R1224" i="34"/>
  <c r="S1224" i="34"/>
  <c r="P1225" i="34"/>
  <c r="Q1225" i="34"/>
  <c r="R1225" i="34"/>
  <c r="S1225" i="34"/>
  <c r="P1226" i="34"/>
  <c r="Q1226" i="34"/>
  <c r="R1226" i="34"/>
  <c r="S1226" i="34"/>
  <c r="P1227" i="34"/>
  <c r="Q1227" i="34"/>
  <c r="R1227" i="34"/>
  <c r="S1227" i="34"/>
  <c r="P1228" i="34"/>
  <c r="Q1228" i="34"/>
  <c r="R1228" i="34"/>
  <c r="S1228" i="34"/>
  <c r="P1229" i="34"/>
  <c r="Q1229" i="34"/>
  <c r="R1229" i="34"/>
  <c r="S1229" i="34"/>
  <c r="P1230" i="34"/>
  <c r="Q1230" i="34"/>
  <c r="R1230" i="34"/>
  <c r="S1230" i="34"/>
  <c r="P1231" i="34"/>
  <c r="Q1231" i="34"/>
  <c r="R1231" i="34"/>
  <c r="S1231" i="34"/>
  <c r="P1232" i="34"/>
  <c r="Q1232" i="34"/>
  <c r="R1232" i="34"/>
  <c r="S1232" i="34"/>
  <c r="P1233" i="34"/>
  <c r="Q1233" i="34"/>
  <c r="R1233" i="34"/>
  <c r="S1233" i="34"/>
  <c r="P1234" i="34"/>
  <c r="Q1234" i="34"/>
  <c r="R1234" i="34"/>
  <c r="S1234" i="34"/>
  <c r="P1235" i="34"/>
  <c r="Q1235" i="34"/>
  <c r="R1235" i="34"/>
  <c r="S1235" i="34"/>
  <c r="P1236" i="34"/>
  <c r="Q1236" i="34"/>
  <c r="R1236" i="34"/>
  <c r="S1236" i="34"/>
  <c r="P1237" i="34"/>
  <c r="Q1237" i="34"/>
  <c r="R1237" i="34"/>
  <c r="S1237" i="34"/>
  <c r="P1238" i="34"/>
  <c r="Q1238" i="34"/>
  <c r="R1238" i="34"/>
  <c r="S1238" i="34"/>
  <c r="P1239" i="34"/>
  <c r="Q1239" i="34"/>
  <c r="R1239" i="34"/>
  <c r="S1239" i="34"/>
  <c r="P1240" i="34"/>
  <c r="Q1240" i="34"/>
  <c r="R1240" i="34"/>
  <c r="S1240" i="34"/>
  <c r="P1241" i="34"/>
  <c r="Q1241" i="34"/>
  <c r="R1241" i="34"/>
  <c r="S1241" i="34"/>
  <c r="P1242" i="34"/>
  <c r="Q1242" i="34"/>
  <c r="R1242" i="34"/>
  <c r="S1242" i="34"/>
  <c r="P1243" i="34"/>
  <c r="Q1243" i="34"/>
  <c r="R1243" i="34"/>
  <c r="S1243" i="34"/>
  <c r="P1244" i="34"/>
  <c r="Q1244" i="34"/>
  <c r="R1244" i="34"/>
  <c r="S1244" i="34"/>
  <c r="P1245" i="34"/>
  <c r="Q1245" i="34"/>
  <c r="R1245" i="34"/>
  <c r="S1245" i="34"/>
  <c r="P1246" i="34"/>
  <c r="Q1246" i="34"/>
  <c r="R1246" i="34"/>
  <c r="S1246" i="34"/>
  <c r="P1247" i="34"/>
  <c r="Q1247" i="34"/>
  <c r="R1247" i="34"/>
  <c r="S1247" i="34"/>
  <c r="P1248" i="34"/>
  <c r="Q1248" i="34"/>
  <c r="R1248" i="34"/>
  <c r="S1248" i="34"/>
  <c r="P1249" i="34"/>
  <c r="Q1249" i="34"/>
  <c r="R1249" i="34"/>
  <c r="S1249" i="34"/>
  <c r="P1250" i="34"/>
  <c r="Q1250" i="34"/>
  <c r="R1250" i="34"/>
  <c r="S1250" i="34"/>
  <c r="P1251" i="34"/>
  <c r="Q1251" i="34"/>
  <c r="R1251" i="34"/>
  <c r="S1251" i="34"/>
  <c r="P1252" i="34"/>
  <c r="Q1252" i="34"/>
  <c r="R1252" i="34"/>
  <c r="S1252" i="34"/>
  <c r="P1253" i="34"/>
  <c r="Q1253" i="34"/>
  <c r="R1253" i="34"/>
  <c r="S1253" i="34"/>
  <c r="P1254" i="34"/>
  <c r="Q1254" i="34"/>
  <c r="R1254" i="34"/>
  <c r="S1254" i="34"/>
  <c r="P1255" i="34"/>
  <c r="Q1255" i="34"/>
  <c r="R1255" i="34"/>
  <c r="S1255" i="34"/>
  <c r="P1256" i="34"/>
  <c r="Q1256" i="34"/>
  <c r="R1256" i="34"/>
  <c r="S1256" i="34"/>
  <c r="P1257" i="34"/>
  <c r="Q1257" i="34"/>
  <c r="R1257" i="34"/>
  <c r="S1257" i="34"/>
  <c r="P1258" i="34"/>
  <c r="Q1258" i="34"/>
  <c r="R1258" i="34"/>
  <c r="S1258" i="34"/>
  <c r="P1259" i="34"/>
  <c r="Q1259" i="34"/>
  <c r="R1259" i="34"/>
  <c r="S1259" i="34"/>
  <c r="P1260" i="34"/>
  <c r="Q1260" i="34"/>
  <c r="R1260" i="34"/>
  <c r="S1260" i="34"/>
  <c r="P1261" i="34"/>
  <c r="Q1261" i="34"/>
  <c r="R1261" i="34"/>
  <c r="S1261" i="34"/>
  <c r="P1262" i="34"/>
  <c r="Q1262" i="34"/>
  <c r="R1262" i="34"/>
  <c r="S1262" i="34"/>
  <c r="P1263" i="34"/>
  <c r="Q1263" i="34"/>
  <c r="R1263" i="34"/>
  <c r="S1263" i="34"/>
  <c r="P1264" i="34"/>
  <c r="Q1264" i="34"/>
  <c r="R1264" i="34"/>
  <c r="S1264" i="34"/>
  <c r="P1265" i="34"/>
  <c r="Q1265" i="34"/>
  <c r="R1265" i="34"/>
  <c r="S1265" i="34"/>
  <c r="P1266" i="34"/>
  <c r="Q1266" i="34"/>
  <c r="R1266" i="34"/>
  <c r="S1266" i="34"/>
  <c r="P1267" i="34"/>
  <c r="Q1267" i="34"/>
  <c r="R1267" i="34"/>
  <c r="S1267" i="34"/>
  <c r="P1268" i="34"/>
  <c r="Q1268" i="34"/>
  <c r="R1268" i="34"/>
  <c r="S1268" i="34"/>
  <c r="P1269" i="34"/>
  <c r="Q1269" i="34"/>
  <c r="R1269" i="34"/>
  <c r="S1269" i="34"/>
  <c r="P1270" i="34"/>
  <c r="Q1270" i="34"/>
  <c r="R1270" i="34"/>
  <c r="S1270" i="34"/>
  <c r="P1271" i="34"/>
  <c r="Q1271" i="34"/>
  <c r="R1271" i="34"/>
  <c r="S1271" i="34"/>
  <c r="P1272" i="34"/>
  <c r="Q1272" i="34"/>
  <c r="R1272" i="34"/>
  <c r="S1272" i="34"/>
  <c r="P1273" i="34"/>
  <c r="Q1273" i="34"/>
  <c r="R1273" i="34"/>
  <c r="S1273" i="34"/>
  <c r="P1274" i="34"/>
  <c r="Q1274" i="34"/>
  <c r="R1274" i="34"/>
  <c r="S1274" i="34"/>
  <c r="P1275" i="34"/>
  <c r="Q1275" i="34"/>
  <c r="R1275" i="34"/>
  <c r="S1275" i="34"/>
  <c r="P1276" i="34"/>
  <c r="Q1276" i="34"/>
  <c r="R1276" i="34"/>
  <c r="S1276" i="34"/>
  <c r="P1277" i="34"/>
  <c r="Q1277" i="34"/>
  <c r="R1277" i="34"/>
  <c r="S1277" i="34"/>
  <c r="P1278" i="34"/>
  <c r="Q1278" i="34"/>
  <c r="R1278" i="34"/>
  <c r="S1278" i="34"/>
  <c r="P1279" i="34"/>
  <c r="Q1279" i="34"/>
  <c r="R1279" i="34"/>
  <c r="S1279" i="34"/>
  <c r="P1280" i="34"/>
  <c r="Q1280" i="34"/>
  <c r="R1280" i="34"/>
  <c r="S1280" i="34"/>
  <c r="P1281" i="34"/>
  <c r="Q1281" i="34"/>
  <c r="R1281" i="34"/>
  <c r="S1281" i="34"/>
  <c r="P1282" i="34"/>
  <c r="Q1282" i="34"/>
  <c r="R1282" i="34"/>
  <c r="S1282" i="34"/>
  <c r="P1283" i="34"/>
  <c r="Q1283" i="34"/>
  <c r="R1283" i="34"/>
  <c r="S1283" i="34"/>
  <c r="P1284" i="34"/>
  <c r="Q1284" i="34"/>
  <c r="R1284" i="34"/>
  <c r="S1284" i="34"/>
  <c r="P1285" i="34"/>
  <c r="Q1285" i="34"/>
  <c r="R1285" i="34"/>
  <c r="S1285" i="34"/>
  <c r="P1286" i="34"/>
  <c r="Q1286" i="34"/>
  <c r="R1286" i="34"/>
  <c r="S1286" i="34"/>
  <c r="P1287" i="34"/>
  <c r="Q1287" i="34"/>
  <c r="R1287" i="34"/>
  <c r="S1287" i="34"/>
  <c r="P1288" i="34"/>
  <c r="Q1288" i="34"/>
  <c r="R1288" i="34"/>
  <c r="S1288" i="34"/>
  <c r="P1289" i="34"/>
  <c r="Q1289" i="34"/>
  <c r="R1289" i="34"/>
  <c r="S1289" i="34"/>
  <c r="P1290" i="34"/>
  <c r="Q1290" i="34"/>
  <c r="R1290" i="34"/>
  <c r="S1290" i="34"/>
  <c r="P1291" i="34"/>
  <c r="Q1291" i="34"/>
  <c r="R1291" i="34"/>
  <c r="S1291" i="34"/>
  <c r="P1292" i="34"/>
  <c r="Q1292" i="34"/>
  <c r="R1292" i="34"/>
  <c r="S1292" i="34"/>
  <c r="P1293" i="34"/>
  <c r="Q1293" i="34"/>
  <c r="R1293" i="34"/>
  <c r="S1293" i="34"/>
  <c r="P1294" i="34"/>
  <c r="Q1294" i="34"/>
  <c r="R1294" i="34"/>
  <c r="S1294" i="34"/>
  <c r="P1295" i="34"/>
  <c r="Q1295" i="34"/>
  <c r="R1295" i="34"/>
  <c r="S1295" i="34"/>
  <c r="P1296" i="34"/>
  <c r="Q1296" i="34"/>
  <c r="R1296" i="34"/>
  <c r="S1296" i="34"/>
  <c r="P1297" i="34"/>
  <c r="Q1297" i="34"/>
  <c r="R1297" i="34"/>
  <c r="S1297" i="34"/>
  <c r="P1298" i="34"/>
  <c r="Q1298" i="34"/>
  <c r="R1298" i="34"/>
  <c r="S1298" i="34"/>
  <c r="P1299" i="34"/>
  <c r="Q1299" i="34"/>
  <c r="R1299" i="34"/>
  <c r="S1299" i="34"/>
  <c r="P1300" i="34"/>
  <c r="Q1300" i="34"/>
  <c r="R1300" i="34"/>
  <c r="S1300" i="34"/>
  <c r="P1301" i="34"/>
  <c r="Q1301" i="34"/>
  <c r="R1301" i="34"/>
  <c r="S1301" i="34"/>
  <c r="P1302" i="34"/>
  <c r="Q1302" i="34"/>
  <c r="R1302" i="34"/>
  <c r="S1302" i="34"/>
  <c r="P1303" i="34"/>
  <c r="Q1303" i="34"/>
  <c r="R1303" i="34"/>
  <c r="S1303" i="34"/>
  <c r="P1304" i="34"/>
  <c r="Q1304" i="34"/>
  <c r="R1304" i="34"/>
  <c r="S1304" i="34"/>
  <c r="P1305" i="34"/>
  <c r="Q1305" i="34"/>
  <c r="R1305" i="34"/>
  <c r="S1305" i="34"/>
  <c r="P1306" i="34"/>
  <c r="Q1306" i="34"/>
  <c r="R1306" i="34"/>
  <c r="S1306" i="34"/>
  <c r="P1307" i="34"/>
  <c r="Q1307" i="34"/>
  <c r="R1307" i="34"/>
  <c r="S1307" i="34"/>
  <c r="P1308" i="34"/>
  <c r="Q1308" i="34"/>
  <c r="R1308" i="34"/>
  <c r="S1308" i="34"/>
  <c r="P1309" i="34"/>
  <c r="Q1309" i="34"/>
  <c r="R1309" i="34"/>
  <c r="S1309" i="34"/>
  <c r="P1310" i="34"/>
  <c r="Q1310" i="34"/>
  <c r="R1310" i="34"/>
  <c r="S1310" i="34"/>
  <c r="P1311" i="34"/>
  <c r="Q1311" i="34"/>
  <c r="R1311" i="34"/>
  <c r="S1311" i="34"/>
  <c r="P1312" i="34"/>
  <c r="Q1312" i="34"/>
  <c r="R1312" i="34"/>
  <c r="S1312" i="34"/>
  <c r="P1313" i="34"/>
  <c r="Q1313" i="34"/>
  <c r="R1313" i="34"/>
  <c r="S1313" i="34"/>
  <c r="P1314" i="34"/>
  <c r="Q1314" i="34"/>
  <c r="R1314" i="34"/>
  <c r="S1314" i="34"/>
  <c r="P1315" i="34"/>
  <c r="Q1315" i="34"/>
  <c r="R1315" i="34"/>
  <c r="S1315" i="34"/>
  <c r="P1316" i="34"/>
  <c r="Q1316" i="34"/>
  <c r="R1316" i="34"/>
  <c r="S1316" i="34"/>
  <c r="P1317" i="34"/>
  <c r="Q1317" i="34"/>
  <c r="R1317" i="34"/>
  <c r="S1317" i="34"/>
  <c r="P1318" i="34"/>
  <c r="Q1318" i="34"/>
  <c r="R1318" i="34"/>
  <c r="S1318" i="34"/>
  <c r="P1319" i="34"/>
  <c r="Q1319" i="34"/>
  <c r="R1319" i="34"/>
  <c r="S1319" i="34"/>
  <c r="P1320" i="34"/>
  <c r="Q1320" i="34"/>
  <c r="R1320" i="34"/>
  <c r="S1320" i="34"/>
  <c r="P1321" i="34"/>
  <c r="Q1321" i="34"/>
  <c r="R1321" i="34"/>
  <c r="S1321" i="34"/>
  <c r="P1322" i="34"/>
  <c r="Q1322" i="34"/>
  <c r="R1322" i="34"/>
  <c r="S1322" i="34"/>
  <c r="P1323" i="34"/>
  <c r="Q1323" i="34"/>
  <c r="R1323" i="34"/>
  <c r="S1323" i="34"/>
  <c r="P1324" i="34"/>
  <c r="Q1324" i="34"/>
  <c r="R1324" i="34"/>
  <c r="S1324" i="34"/>
  <c r="P1325" i="34"/>
  <c r="Q1325" i="34"/>
  <c r="R1325" i="34"/>
  <c r="S1325" i="34"/>
  <c r="P1326" i="34"/>
  <c r="Q1326" i="34"/>
  <c r="R1326" i="34"/>
  <c r="S1326" i="34"/>
  <c r="P1327" i="34"/>
  <c r="Q1327" i="34"/>
  <c r="R1327" i="34"/>
  <c r="S1327" i="34"/>
  <c r="P1328" i="34"/>
  <c r="Q1328" i="34"/>
  <c r="R1328" i="34"/>
  <c r="S1328" i="34"/>
  <c r="P1329" i="34"/>
  <c r="Q1329" i="34"/>
  <c r="R1329" i="34"/>
  <c r="S1329" i="34"/>
  <c r="P1330" i="34"/>
  <c r="Q1330" i="34"/>
  <c r="R1330" i="34"/>
  <c r="S1330" i="34"/>
  <c r="P1331" i="34"/>
  <c r="Q1331" i="34"/>
  <c r="R1331" i="34"/>
  <c r="S1331" i="34"/>
  <c r="P1332" i="34"/>
  <c r="Q1332" i="34"/>
  <c r="R1332" i="34"/>
  <c r="S1332" i="34"/>
  <c r="P1333" i="34"/>
  <c r="Q1333" i="34"/>
  <c r="R1333" i="34"/>
  <c r="S1333" i="34"/>
  <c r="P1334" i="34"/>
  <c r="Q1334" i="34"/>
  <c r="R1334" i="34"/>
  <c r="S1334" i="34"/>
  <c r="P1335" i="34"/>
  <c r="Q1335" i="34"/>
  <c r="R1335" i="34"/>
  <c r="S1335" i="34"/>
  <c r="P1336" i="34"/>
  <c r="Q1336" i="34"/>
  <c r="R1336" i="34"/>
  <c r="S1336" i="34"/>
  <c r="P1337" i="34"/>
  <c r="Q1337" i="34"/>
  <c r="R1337" i="34"/>
  <c r="S1337" i="34"/>
  <c r="P1338" i="34"/>
  <c r="Q1338" i="34"/>
  <c r="R1338" i="34"/>
  <c r="S1338" i="34"/>
  <c r="P1339" i="34"/>
  <c r="Q1339" i="34"/>
  <c r="R1339" i="34"/>
  <c r="S1339" i="34"/>
  <c r="P1340" i="34"/>
  <c r="Q1340" i="34"/>
  <c r="R1340" i="34"/>
  <c r="S1340" i="34"/>
  <c r="P1341" i="34"/>
  <c r="Q1341" i="34"/>
  <c r="R1341" i="34"/>
  <c r="S1341" i="34"/>
  <c r="P1342" i="34"/>
  <c r="Q1342" i="34"/>
  <c r="R1342" i="34"/>
  <c r="S1342" i="34"/>
  <c r="P1343" i="34"/>
  <c r="Q1343" i="34"/>
  <c r="R1343" i="34"/>
  <c r="S1343" i="34"/>
  <c r="P1344" i="34"/>
  <c r="Q1344" i="34"/>
  <c r="R1344" i="34"/>
  <c r="S1344" i="34"/>
  <c r="P1345" i="34"/>
  <c r="Q1345" i="34"/>
  <c r="R1345" i="34"/>
  <c r="S1345" i="34"/>
  <c r="P1346" i="34"/>
  <c r="Q1346" i="34"/>
  <c r="R1346" i="34"/>
  <c r="S1346" i="34"/>
  <c r="P1347" i="34"/>
  <c r="Q1347" i="34"/>
  <c r="R1347" i="34"/>
  <c r="S1347" i="34"/>
  <c r="P1348" i="34"/>
  <c r="Q1348" i="34"/>
  <c r="R1348" i="34"/>
  <c r="S1348" i="34"/>
  <c r="P1349" i="34"/>
  <c r="Q1349" i="34"/>
  <c r="R1349" i="34"/>
  <c r="S1349" i="34"/>
  <c r="P1350" i="34"/>
  <c r="Q1350" i="34"/>
  <c r="R1350" i="34"/>
  <c r="S1350" i="34"/>
  <c r="P1351" i="34"/>
  <c r="Q1351" i="34"/>
  <c r="R1351" i="34"/>
  <c r="S1351" i="34"/>
  <c r="P1352" i="34"/>
  <c r="Q1352" i="34"/>
  <c r="R1352" i="34"/>
  <c r="S1352" i="34"/>
  <c r="P1353" i="34"/>
  <c r="Q1353" i="34"/>
  <c r="R1353" i="34"/>
  <c r="S1353" i="34"/>
  <c r="P1354" i="34"/>
  <c r="Q1354" i="34"/>
  <c r="R1354" i="34"/>
  <c r="S1354" i="34"/>
  <c r="P1355" i="34"/>
  <c r="Q1355" i="34"/>
  <c r="R1355" i="34"/>
  <c r="S1355" i="34"/>
  <c r="P1356" i="34"/>
  <c r="Q1356" i="34"/>
  <c r="R1356" i="34"/>
  <c r="S1356" i="34"/>
  <c r="P1357" i="34"/>
  <c r="Q1357" i="34"/>
  <c r="R1357" i="34"/>
  <c r="S1357" i="34"/>
  <c r="P1358" i="34"/>
  <c r="Q1358" i="34"/>
  <c r="R1358" i="34"/>
  <c r="S1358" i="34"/>
  <c r="P1359" i="34"/>
  <c r="Q1359" i="34"/>
  <c r="R1359" i="34"/>
  <c r="S1359" i="34"/>
  <c r="P1360" i="34"/>
  <c r="Q1360" i="34"/>
  <c r="R1360" i="34"/>
  <c r="S1360" i="34"/>
  <c r="P1361" i="34"/>
  <c r="Q1361" i="34"/>
  <c r="R1361" i="34"/>
  <c r="S1361" i="34"/>
  <c r="P1362" i="34"/>
  <c r="Q1362" i="34"/>
  <c r="R1362" i="34"/>
  <c r="S1362" i="34"/>
  <c r="P1363" i="34"/>
  <c r="Q1363" i="34"/>
  <c r="R1363" i="34"/>
  <c r="S1363" i="34"/>
  <c r="P1364" i="34"/>
  <c r="Q1364" i="34"/>
  <c r="R1364" i="34"/>
  <c r="S1364" i="34"/>
  <c r="P1365" i="34"/>
  <c r="Q1365" i="34"/>
  <c r="R1365" i="34"/>
  <c r="S1365" i="34"/>
  <c r="P1366" i="34"/>
  <c r="Q1366" i="34"/>
  <c r="R1366" i="34"/>
  <c r="S1366" i="34"/>
  <c r="P1367" i="34"/>
  <c r="Q1367" i="34"/>
  <c r="R1367" i="34"/>
  <c r="S1367" i="34"/>
  <c r="P1368" i="34"/>
  <c r="Q1368" i="34"/>
  <c r="R1368" i="34"/>
  <c r="S1368" i="34"/>
  <c r="P1369" i="34"/>
  <c r="Q1369" i="34"/>
  <c r="R1369" i="34"/>
  <c r="S1369" i="34"/>
  <c r="P1370" i="34"/>
  <c r="Q1370" i="34"/>
  <c r="R1370" i="34"/>
  <c r="S1370" i="34"/>
  <c r="P1371" i="34"/>
  <c r="Q1371" i="34"/>
  <c r="R1371" i="34"/>
  <c r="S1371" i="34"/>
  <c r="P1372" i="34"/>
  <c r="Q1372" i="34"/>
  <c r="R1372" i="34"/>
  <c r="S1372" i="34"/>
  <c r="P1373" i="34"/>
  <c r="Q1373" i="34"/>
  <c r="R1373" i="34"/>
  <c r="S1373" i="34"/>
  <c r="P1374" i="34"/>
  <c r="Q1374" i="34"/>
  <c r="R1374" i="34"/>
  <c r="S1374" i="34"/>
  <c r="P1375" i="34"/>
  <c r="Q1375" i="34"/>
  <c r="R1375" i="34"/>
  <c r="S1375" i="34"/>
  <c r="P1376" i="34"/>
  <c r="Q1376" i="34"/>
  <c r="R1376" i="34"/>
  <c r="S1376" i="34"/>
  <c r="P1377" i="34"/>
  <c r="Q1377" i="34"/>
  <c r="R1377" i="34"/>
  <c r="S1377" i="34"/>
  <c r="P1378" i="34"/>
  <c r="Q1378" i="34"/>
  <c r="R1378" i="34"/>
  <c r="S1378" i="34"/>
  <c r="P1379" i="34"/>
  <c r="Q1379" i="34"/>
  <c r="R1379" i="34"/>
  <c r="S1379" i="34"/>
  <c r="P1380" i="34"/>
  <c r="Q1380" i="34"/>
  <c r="R1380" i="34"/>
  <c r="S1380" i="34"/>
  <c r="P1381" i="34"/>
  <c r="Q1381" i="34"/>
  <c r="R1381" i="34"/>
  <c r="S1381" i="34"/>
  <c r="P1382" i="34"/>
  <c r="Q1382" i="34"/>
  <c r="R1382" i="34"/>
  <c r="S1382" i="34"/>
  <c r="P1383" i="34"/>
  <c r="Q1383" i="34"/>
  <c r="R1383" i="34"/>
  <c r="S1383" i="34"/>
  <c r="P1384" i="34"/>
  <c r="Q1384" i="34"/>
  <c r="R1384" i="34"/>
  <c r="S1384" i="34"/>
  <c r="P1385" i="34"/>
  <c r="Q1385" i="34"/>
  <c r="R1385" i="34"/>
  <c r="S1385" i="34"/>
  <c r="P1386" i="34"/>
  <c r="Q1386" i="34"/>
  <c r="R1386" i="34"/>
  <c r="S1386" i="34"/>
  <c r="P1387" i="34"/>
  <c r="Q1387" i="34"/>
  <c r="R1387" i="34"/>
  <c r="S1387" i="34"/>
  <c r="P1388" i="34"/>
  <c r="Q1388" i="34"/>
  <c r="R1388" i="34"/>
  <c r="S1388" i="34"/>
  <c r="P1389" i="34"/>
  <c r="Q1389" i="34"/>
  <c r="R1389" i="34"/>
  <c r="S1389" i="34"/>
  <c r="P1390" i="34"/>
  <c r="Q1390" i="34"/>
  <c r="R1390" i="34"/>
  <c r="S1390" i="34"/>
  <c r="P1391" i="34"/>
  <c r="Q1391" i="34"/>
  <c r="R1391" i="34"/>
  <c r="S1391" i="34"/>
  <c r="P1392" i="34"/>
  <c r="Q1392" i="34"/>
  <c r="R1392" i="34"/>
  <c r="S1392" i="34"/>
  <c r="P1393" i="34"/>
  <c r="Q1393" i="34"/>
  <c r="R1393" i="34"/>
  <c r="S1393" i="34"/>
  <c r="P1394" i="34"/>
  <c r="Q1394" i="34"/>
  <c r="R1394" i="34"/>
  <c r="S1394" i="34"/>
  <c r="P1395" i="34"/>
  <c r="Q1395" i="34"/>
  <c r="R1395" i="34"/>
  <c r="S1395" i="34"/>
  <c r="P1396" i="34"/>
  <c r="Q1396" i="34"/>
  <c r="R1396" i="34"/>
  <c r="S1396" i="34"/>
  <c r="P1397" i="34"/>
  <c r="Q1397" i="34"/>
  <c r="R1397" i="34"/>
  <c r="S1397" i="34"/>
  <c r="P1398" i="34"/>
  <c r="Q1398" i="34"/>
  <c r="R1398" i="34"/>
  <c r="S1398" i="34"/>
  <c r="P1399" i="34"/>
  <c r="Q1399" i="34"/>
  <c r="R1399" i="34"/>
  <c r="S1399" i="34"/>
  <c r="P1400" i="34"/>
  <c r="Q1400" i="34"/>
  <c r="R1400" i="34"/>
  <c r="S1400" i="34"/>
  <c r="P1401" i="34"/>
  <c r="Q1401" i="34"/>
  <c r="R1401" i="34"/>
  <c r="S1401" i="34"/>
  <c r="P1402" i="34"/>
  <c r="Q1402" i="34"/>
  <c r="R1402" i="34"/>
  <c r="S1402" i="34"/>
  <c r="P1403" i="34"/>
  <c r="Q1403" i="34"/>
  <c r="R1403" i="34"/>
  <c r="S1403" i="34"/>
  <c r="P1404" i="34"/>
  <c r="Q1404" i="34"/>
  <c r="R1404" i="34"/>
  <c r="S1404" i="34"/>
  <c r="P1405" i="34"/>
  <c r="Q1405" i="34"/>
  <c r="R1405" i="34"/>
  <c r="S1405" i="34"/>
  <c r="P1406" i="34"/>
  <c r="Q1406" i="34"/>
  <c r="R1406" i="34"/>
  <c r="S1406" i="34"/>
  <c r="P1407" i="34"/>
  <c r="Q1407" i="34"/>
  <c r="R1407" i="34"/>
  <c r="S1407" i="34"/>
  <c r="P1408" i="34"/>
  <c r="Q1408" i="34"/>
  <c r="R1408" i="34"/>
  <c r="S1408" i="34"/>
  <c r="P1409" i="34"/>
  <c r="Q1409" i="34"/>
  <c r="R1409" i="34"/>
  <c r="S1409" i="34"/>
  <c r="P1410" i="34"/>
  <c r="Q1410" i="34"/>
  <c r="R1410" i="34"/>
  <c r="S1410" i="34"/>
  <c r="P1411" i="34"/>
  <c r="Q1411" i="34"/>
  <c r="R1411" i="34"/>
  <c r="S1411" i="34"/>
  <c r="P1412" i="34"/>
  <c r="Q1412" i="34"/>
  <c r="R1412" i="34"/>
  <c r="S1412" i="34"/>
  <c r="P1413" i="34"/>
  <c r="Q1413" i="34"/>
  <c r="R1413" i="34"/>
  <c r="S1413" i="34"/>
  <c r="P1414" i="34"/>
  <c r="Q1414" i="34"/>
  <c r="R1414" i="34"/>
  <c r="S1414" i="34"/>
  <c r="P1415" i="34"/>
  <c r="Q1415" i="34"/>
  <c r="R1415" i="34"/>
  <c r="S1415" i="34"/>
  <c r="P1416" i="34"/>
  <c r="Q1416" i="34"/>
  <c r="R1416" i="34"/>
  <c r="S1416" i="34"/>
  <c r="P1417" i="34"/>
  <c r="Q1417" i="34"/>
  <c r="R1417" i="34"/>
  <c r="S1417" i="34"/>
  <c r="P1418" i="34"/>
  <c r="Q1418" i="34"/>
  <c r="R1418" i="34"/>
  <c r="S1418" i="34"/>
  <c r="P1419" i="34"/>
  <c r="Q1419" i="34"/>
  <c r="R1419" i="34"/>
  <c r="S1419" i="34"/>
  <c r="P1420" i="34"/>
  <c r="Q1420" i="34"/>
  <c r="R1420" i="34"/>
  <c r="S1420" i="34"/>
  <c r="P1421" i="34"/>
  <c r="Q1421" i="34"/>
  <c r="R1421" i="34"/>
  <c r="S1421" i="34"/>
  <c r="P1422" i="34"/>
  <c r="Q1422" i="34"/>
  <c r="R1422" i="34"/>
  <c r="S1422" i="34"/>
  <c r="P1423" i="34"/>
  <c r="Q1423" i="34"/>
  <c r="R1423" i="34"/>
  <c r="S1423" i="34"/>
  <c r="P1424" i="34"/>
  <c r="Q1424" i="34"/>
  <c r="R1424" i="34"/>
  <c r="S1424" i="34"/>
  <c r="P1425" i="34"/>
  <c r="Q1425" i="34"/>
  <c r="R1425" i="34"/>
  <c r="S1425" i="34"/>
  <c r="P1426" i="34"/>
  <c r="Q1426" i="34"/>
  <c r="R1426" i="34"/>
  <c r="S1426" i="34"/>
  <c r="P1427" i="34"/>
  <c r="Q1427" i="34"/>
  <c r="R1427" i="34"/>
  <c r="S1427" i="34"/>
  <c r="P1428" i="34"/>
  <c r="Q1428" i="34"/>
  <c r="R1428" i="34"/>
  <c r="S1428" i="34"/>
  <c r="P1429" i="34"/>
  <c r="Q1429" i="34"/>
  <c r="R1429" i="34"/>
  <c r="S1429" i="34"/>
  <c r="P1430" i="34"/>
  <c r="Q1430" i="34"/>
  <c r="R1430" i="34"/>
  <c r="S1430" i="34"/>
  <c r="P1431" i="34"/>
  <c r="Q1431" i="34"/>
  <c r="R1431" i="34"/>
  <c r="S1431" i="34"/>
  <c r="P1432" i="34"/>
  <c r="Q1432" i="34"/>
  <c r="R1432" i="34"/>
  <c r="S1432" i="34"/>
  <c r="P1433" i="34"/>
  <c r="Q1433" i="34"/>
  <c r="R1433" i="34"/>
  <c r="S1433" i="34"/>
  <c r="P1434" i="34"/>
  <c r="Q1434" i="34"/>
  <c r="R1434" i="34"/>
  <c r="S1434" i="34"/>
  <c r="P1435" i="34"/>
  <c r="Q1435" i="34"/>
  <c r="R1435" i="34"/>
  <c r="S1435" i="34"/>
  <c r="P1436" i="34"/>
  <c r="Q1436" i="34"/>
  <c r="R1436" i="34"/>
  <c r="S1436" i="34"/>
  <c r="P1437" i="34"/>
  <c r="Q1437" i="34"/>
  <c r="R1437" i="34"/>
  <c r="S1437" i="34"/>
  <c r="P1438" i="34"/>
  <c r="Q1438" i="34"/>
  <c r="R1438" i="34"/>
  <c r="S1438" i="34"/>
  <c r="P1439" i="34"/>
  <c r="Q1439" i="34"/>
  <c r="R1439" i="34"/>
  <c r="S1439" i="34"/>
  <c r="P1440" i="34"/>
  <c r="Q1440" i="34"/>
  <c r="R1440" i="34"/>
  <c r="S1440" i="34"/>
  <c r="P1441" i="34"/>
  <c r="Q1441" i="34"/>
  <c r="R1441" i="34"/>
  <c r="S1441" i="34"/>
  <c r="P1442" i="34"/>
  <c r="Q1442" i="34"/>
  <c r="R1442" i="34"/>
  <c r="S1442" i="34"/>
  <c r="P1443" i="34"/>
  <c r="Q1443" i="34"/>
  <c r="R1443" i="34"/>
  <c r="S1443" i="34"/>
  <c r="P1444" i="34"/>
  <c r="Q1444" i="34"/>
  <c r="R1444" i="34"/>
  <c r="S1444" i="34"/>
  <c r="P1445" i="34"/>
  <c r="Q1445" i="34"/>
  <c r="R1445" i="34"/>
  <c r="S1445" i="34"/>
  <c r="P1446" i="34"/>
  <c r="Q1446" i="34"/>
  <c r="R1446" i="34"/>
  <c r="S1446" i="34"/>
  <c r="P1447" i="34"/>
  <c r="Q1447" i="34"/>
  <c r="R1447" i="34"/>
  <c r="S1447" i="34"/>
  <c r="P1448" i="34"/>
  <c r="Q1448" i="34"/>
  <c r="R1448" i="34"/>
  <c r="S1448" i="34"/>
  <c r="P1449" i="34"/>
  <c r="Q1449" i="34"/>
  <c r="R1449" i="34"/>
  <c r="S1449" i="34"/>
  <c r="P1450" i="34"/>
  <c r="Q1450" i="34"/>
  <c r="R1450" i="34"/>
  <c r="S1450" i="34"/>
  <c r="P1451" i="34"/>
  <c r="Q1451" i="34"/>
  <c r="R1451" i="34"/>
  <c r="S1451" i="34"/>
  <c r="P1452" i="34"/>
  <c r="Q1452" i="34"/>
  <c r="R1452" i="34"/>
  <c r="S1452" i="34"/>
  <c r="P1453" i="34"/>
  <c r="Q1453" i="34"/>
  <c r="R1453" i="34"/>
  <c r="S1453" i="34"/>
  <c r="P1454" i="34"/>
  <c r="Q1454" i="34"/>
  <c r="R1454" i="34"/>
  <c r="S1454" i="34"/>
  <c r="P1455" i="34"/>
  <c r="Q1455" i="34"/>
  <c r="R1455" i="34"/>
  <c r="S1455" i="34"/>
  <c r="P1456" i="34"/>
  <c r="Q1456" i="34"/>
  <c r="R1456" i="34"/>
  <c r="S1456" i="34"/>
  <c r="P1457" i="34"/>
  <c r="Q1457" i="34"/>
  <c r="R1457" i="34"/>
  <c r="S1457" i="34"/>
  <c r="P1458" i="34"/>
  <c r="Q1458" i="34"/>
  <c r="R1458" i="34"/>
  <c r="S1458" i="34"/>
  <c r="P1459" i="34"/>
  <c r="Q1459" i="34"/>
  <c r="R1459" i="34"/>
  <c r="S1459" i="34"/>
  <c r="P1460" i="34"/>
  <c r="Q1460" i="34"/>
  <c r="R1460" i="34"/>
  <c r="S1460" i="34"/>
  <c r="P1461" i="34"/>
  <c r="Q1461" i="34"/>
  <c r="R1461" i="34"/>
  <c r="S1461" i="34"/>
  <c r="P1462" i="34"/>
  <c r="Q1462" i="34"/>
  <c r="R1462" i="34"/>
  <c r="S1462" i="34"/>
  <c r="P1463" i="34"/>
  <c r="Q1463" i="34"/>
  <c r="R1463" i="34"/>
  <c r="S1463" i="34"/>
  <c r="P1464" i="34"/>
  <c r="Q1464" i="34"/>
  <c r="R1464" i="34"/>
  <c r="S1464" i="34"/>
  <c r="P1465" i="34"/>
  <c r="Q1465" i="34"/>
  <c r="R1465" i="34"/>
  <c r="S1465" i="34"/>
  <c r="P1466" i="34"/>
  <c r="Q1466" i="34"/>
  <c r="R1466" i="34"/>
  <c r="S1466" i="34"/>
  <c r="P1467" i="34"/>
  <c r="Q1467" i="34"/>
  <c r="R1467" i="34"/>
  <c r="S1467" i="34"/>
  <c r="P1468" i="34"/>
  <c r="Q1468" i="34"/>
  <c r="R1468" i="34"/>
  <c r="S1468" i="34"/>
  <c r="P1469" i="34"/>
  <c r="Q1469" i="34"/>
  <c r="R1469" i="34"/>
  <c r="S1469" i="34"/>
  <c r="P1470" i="34"/>
  <c r="Q1470" i="34"/>
  <c r="R1470" i="34"/>
  <c r="S1470" i="34"/>
  <c r="P1471" i="34"/>
  <c r="Q1471" i="34"/>
  <c r="R1471" i="34"/>
  <c r="S1471" i="34"/>
  <c r="P1472" i="34"/>
  <c r="Q1472" i="34"/>
  <c r="R1472" i="34"/>
  <c r="S1472" i="34"/>
  <c r="P1473" i="34"/>
  <c r="Q1473" i="34"/>
  <c r="R1473" i="34"/>
  <c r="S1473" i="34"/>
  <c r="P1474" i="34"/>
  <c r="Q1474" i="34"/>
  <c r="R1474" i="34"/>
  <c r="S1474" i="34"/>
  <c r="P1475" i="34"/>
  <c r="Q1475" i="34"/>
  <c r="R1475" i="34"/>
  <c r="S1475" i="34"/>
  <c r="P1476" i="34"/>
  <c r="Q1476" i="34"/>
  <c r="R1476" i="34"/>
  <c r="S1476" i="34"/>
  <c r="P1477" i="34"/>
  <c r="Q1477" i="34"/>
  <c r="R1477" i="34"/>
  <c r="S1477" i="34"/>
  <c r="P1478" i="34"/>
  <c r="Q1478" i="34"/>
  <c r="R1478" i="34"/>
  <c r="S1478" i="34"/>
  <c r="P1479" i="34"/>
  <c r="Q1479" i="34"/>
  <c r="R1479" i="34"/>
  <c r="S1479" i="34"/>
  <c r="P1480" i="34"/>
  <c r="Q1480" i="34"/>
  <c r="R1480" i="34"/>
  <c r="S1480" i="34"/>
  <c r="P1481" i="34"/>
  <c r="Q1481" i="34"/>
  <c r="R1481" i="34"/>
  <c r="S1481" i="34"/>
  <c r="P1482" i="34"/>
  <c r="Q1482" i="34"/>
  <c r="R1482" i="34"/>
  <c r="S1482" i="34"/>
  <c r="P1483" i="34"/>
  <c r="Q1483" i="34"/>
  <c r="R1483" i="34"/>
  <c r="S1483" i="34"/>
  <c r="P1484" i="34"/>
  <c r="Q1484" i="34"/>
  <c r="R1484" i="34"/>
  <c r="S1484" i="34"/>
  <c r="P1485" i="34"/>
  <c r="Q1485" i="34"/>
  <c r="R1485" i="34"/>
  <c r="S1485" i="34"/>
  <c r="P1486" i="34"/>
  <c r="Q1486" i="34"/>
  <c r="R1486" i="34"/>
  <c r="S1486" i="34"/>
  <c r="P1487" i="34"/>
  <c r="Q1487" i="34"/>
  <c r="R1487" i="34"/>
  <c r="S1487" i="34"/>
  <c r="P1488" i="34"/>
  <c r="Q1488" i="34"/>
  <c r="R1488" i="34"/>
  <c r="S1488" i="34"/>
  <c r="P1489" i="34"/>
  <c r="Q1489" i="34"/>
  <c r="R1489" i="34"/>
  <c r="S1489" i="34"/>
  <c r="P1490" i="34"/>
  <c r="Q1490" i="34"/>
  <c r="R1490" i="34"/>
  <c r="S1490" i="34"/>
  <c r="P1491" i="34"/>
  <c r="Q1491" i="34"/>
  <c r="R1491" i="34"/>
  <c r="S1491" i="34"/>
  <c r="P1492" i="34"/>
  <c r="Q1492" i="34"/>
  <c r="R1492" i="34"/>
  <c r="S1492" i="34"/>
  <c r="P1493" i="34"/>
  <c r="Q1493" i="34"/>
  <c r="R1493" i="34"/>
  <c r="S1493" i="34"/>
  <c r="P1494" i="34"/>
  <c r="Q1494" i="34"/>
  <c r="R1494" i="34"/>
  <c r="S1494" i="34"/>
  <c r="P1495" i="34"/>
  <c r="Q1495" i="34"/>
  <c r="R1495" i="34"/>
  <c r="S1495" i="34"/>
  <c r="P1496" i="34"/>
  <c r="Q1496" i="34"/>
  <c r="R1496" i="34"/>
  <c r="S1496" i="34"/>
  <c r="P1497" i="34"/>
  <c r="Q1497" i="34"/>
  <c r="R1497" i="34"/>
  <c r="S1497" i="34"/>
  <c r="P1498" i="34"/>
  <c r="Q1498" i="34"/>
  <c r="R1498" i="34"/>
  <c r="S1498" i="34"/>
  <c r="P1499" i="34"/>
  <c r="Q1499" i="34"/>
  <c r="R1499" i="34"/>
  <c r="S1499" i="34"/>
  <c r="P1500" i="34"/>
  <c r="Q1500" i="34"/>
  <c r="R1500" i="34"/>
  <c r="S1500" i="34"/>
  <c r="P1501" i="34"/>
  <c r="Q1501" i="34"/>
  <c r="R1501" i="34"/>
  <c r="S1501" i="34"/>
  <c r="P1502" i="34"/>
  <c r="Q1502" i="34"/>
  <c r="R1502" i="34"/>
  <c r="S1502" i="34"/>
  <c r="P1503" i="34"/>
  <c r="Q1503" i="34"/>
  <c r="R1503" i="34"/>
  <c r="S1503" i="34"/>
  <c r="P1504" i="34"/>
  <c r="Q1504" i="34"/>
  <c r="R1504" i="34"/>
  <c r="S1504" i="34"/>
  <c r="P1505" i="34"/>
  <c r="Q1505" i="34"/>
  <c r="R1505" i="34"/>
  <c r="S1505" i="34"/>
  <c r="P1506" i="34"/>
  <c r="Q1506" i="34"/>
  <c r="R1506" i="34"/>
  <c r="S1506" i="34"/>
  <c r="P1507" i="34"/>
  <c r="Q1507" i="34"/>
  <c r="R1507" i="34"/>
  <c r="S1507" i="34"/>
  <c r="P1508" i="34"/>
  <c r="Q1508" i="34"/>
  <c r="R1508" i="34"/>
  <c r="S1508" i="34"/>
  <c r="P1509" i="34"/>
  <c r="Q1509" i="34"/>
  <c r="R1509" i="34"/>
  <c r="S1509" i="34"/>
  <c r="P1510" i="34"/>
  <c r="Q1510" i="34"/>
  <c r="R1510" i="34"/>
  <c r="S1510" i="34"/>
  <c r="P1511" i="34"/>
  <c r="Q1511" i="34"/>
  <c r="R1511" i="34"/>
  <c r="S1511" i="34"/>
  <c r="P1512" i="34"/>
  <c r="Q1512" i="34"/>
  <c r="R1512" i="34"/>
  <c r="S1512" i="34"/>
  <c r="P1513" i="34"/>
  <c r="Q1513" i="34"/>
  <c r="R1513" i="34"/>
  <c r="S1513" i="34"/>
  <c r="P1514" i="34"/>
  <c r="Q1514" i="34"/>
  <c r="R1514" i="34"/>
  <c r="S1514" i="34"/>
  <c r="P1515" i="34"/>
  <c r="Q1515" i="34"/>
  <c r="R1515" i="34"/>
  <c r="S1515" i="34"/>
  <c r="P1516" i="34"/>
  <c r="Q1516" i="34"/>
  <c r="R1516" i="34"/>
  <c r="S1516" i="34"/>
  <c r="P1517" i="34"/>
  <c r="Q1517" i="34"/>
  <c r="R1517" i="34"/>
  <c r="S1517" i="34"/>
  <c r="P1518" i="34"/>
  <c r="Q1518" i="34"/>
  <c r="R1518" i="34"/>
  <c r="S1518" i="34"/>
  <c r="P1519" i="34"/>
  <c r="Q1519" i="34"/>
  <c r="R1519" i="34"/>
  <c r="S1519" i="34"/>
  <c r="P1520" i="34"/>
  <c r="Q1520" i="34"/>
  <c r="R1520" i="34"/>
  <c r="S1520" i="34"/>
  <c r="P1521" i="34"/>
  <c r="Q1521" i="34"/>
  <c r="R1521" i="34"/>
  <c r="S1521" i="34"/>
  <c r="P1522" i="34"/>
  <c r="Q1522" i="34"/>
  <c r="R1522" i="34"/>
  <c r="S1522" i="34"/>
  <c r="P1523" i="34"/>
  <c r="Q1523" i="34"/>
  <c r="R1523" i="34"/>
  <c r="S1523" i="34"/>
  <c r="P1524" i="34"/>
  <c r="Q1524" i="34"/>
  <c r="R1524" i="34"/>
  <c r="S1524" i="34"/>
  <c r="P1525" i="34"/>
  <c r="Q1525" i="34"/>
  <c r="R1525" i="34"/>
  <c r="S1525" i="34"/>
  <c r="P1526" i="34"/>
  <c r="Q1526" i="34"/>
  <c r="R1526" i="34"/>
  <c r="S1526" i="34"/>
  <c r="P1527" i="34"/>
  <c r="Q1527" i="34"/>
  <c r="R1527" i="34"/>
  <c r="S1527" i="34"/>
  <c r="P1528" i="34"/>
  <c r="Q1528" i="34"/>
  <c r="R1528" i="34"/>
  <c r="S1528" i="34"/>
  <c r="P1529" i="34"/>
  <c r="Q1529" i="34"/>
  <c r="R1529" i="34"/>
  <c r="S1529" i="34"/>
  <c r="P1530" i="34"/>
  <c r="Q1530" i="34"/>
  <c r="R1530" i="34"/>
  <c r="S1530" i="34"/>
  <c r="P1531" i="34"/>
  <c r="Q1531" i="34"/>
  <c r="R1531" i="34"/>
  <c r="S1531" i="34"/>
  <c r="P1532" i="34"/>
  <c r="Q1532" i="34"/>
  <c r="R1532" i="34"/>
  <c r="S1532" i="34"/>
  <c r="P1533" i="34"/>
  <c r="Q1533" i="34"/>
  <c r="R1533" i="34"/>
  <c r="S1533" i="34"/>
  <c r="P1534" i="34"/>
  <c r="Q1534" i="34"/>
  <c r="R1534" i="34"/>
  <c r="S1534" i="34"/>
  <c r="P1535" i="34"/>
  <c r="Q1535" i="34"/>
  <c r="R1535" i="34"/>
  <c r="S1535" i="34"/>
  <c r="P1536" i="34"/>
  <c r="Q1536" i="34"/>
  <c r="R1536" i="34"/>
  <c r="S1536" i="34"/>
  <c r="P1537" i="34"/>
  <c r="Q1537" i="34"/>
  <c r="R1537" i="34"/>
  <c r="S1537" i="34"/>
  <c r="P1538" i="34"/>
  <c r="Q1538" i="34"/>
  <c r="R1538" i="34"/>
  <c r="S1538" i="34"/>
  <c r="P1539" i="34"/>
  <c r="Q1539" i="34"/>
  <c r="R1539" i="34"/>
  <c r="S1539" i="34"/>
  <c r="P1540" i="34"/>
  <c r="Q1540" i="34"/>
  <c r="R1540" i="34"/>
  <c r="S1540" i="34"/>
  <c r="P1541" i="34"/>
  <c r="Q1541" i="34"/>
  <c r="R1541" i="34"/>
  <c r="S1541" i="34"/>
  <c r="P1542" i="34"/>
  <c r="Q1542" i="34"/>
  <c r="R1542" i="34"/>
  <c r="S1542" i="34"/>
  <c r="P1543" i="34"/>
  <c r="Q1543" i="34"/>
  <c r="R1543" i="34"/>
  <c r="S1543" i="34"/>
  <c r="P1544" i="34"/>
  <c r="Q1544" i="34"/>
  <c r="R1544" i="34"/>
  <c r="S1544" i="34"/>
  <c r="P1545" i="34"/>
  <c r="Q1545" i="34"/>
  <c r="R1545" i="34"/>
  <c r="S1545" i="34"/>
  <c r="P1546" i="34"/>
  <c r="Q1546" i="34"/>
  <c r="R1546" i="34"/>
  <c r="S1546" i="34"/>
  <c r="P1547" i="34"/>
  <c r="Q1547" i="34"/>
  <c r="R1547" i="34"/>
  <c r="S1547" i="34"/>
  <c r="P1548" i="34"/>
  <c r="Q1548" i="34"/>
  <c r="R1548" i="34"/>
  <c r="S1548" i="34"/>
  <c r="P1549" i="34"/>
  <c r="Q1549" i="34"/>
  <c r="R1549" i="34"/>
  <c r="S1549" i="34"/>
  <c r="P1550" i="34"/>
  <c r="Q1550" i="34"/>
  <c r="R1550" i="34"/>
  <c r="S1550" i="34"/>
  <c r="P1551" i="34"/>
  <c r="Q1551" i="34"/>
  <c r="R1551" i="34"/>
  <c r="S1551" i="34"/>
  <c r="P1552" i="34"/>
  <c r="Q1552" i="34"/>
  <c r="R1552" i="34"/>
  <c r="S1552" i="34"/>
  <c r="P1553" i="34"/>
  <c r="Q1553" i="34"/>
  <c r="R1553" i="34"/>
  <c r="S1553" i="34"/>
  <c r="P1554" i="34"/>
  <c r="Q1554" i="34"/>
  <c r="R1554" i="34"/>
  <c r="S1554" i="34"/>
  <c r="P1555" i="34"/>
  <c r="Q1555" i="34"/>
  <c r="R1555" i="34"/>
  <c r="S1555" i="34"/>
  <c r="P1556" i="34"/>
  <c r="Q1556" i="34"/>
  <c r="R1556" i="34"/>
  <c r="S1556" i="34"/>
  <c r="P1557" i="34"/>
  <c r="Q1557" i="34"/>
  <c r="R1557" i="34"/>
  <c r="S1557" i="34"/>
  <c r="P1558" i="34"/>
  <c r="Q1558" i="34"/>
  <c r="R1558" i="34"/>
  <c r="S1558" i="34"/>
  <c r="P1559" i="34"/>
  <c r="Q1559" i="34"/>
  <c r="R1559" i="34"/>
  <c r="S1559" i="34"/>
  <c r="P1560" i="34"/>
  <c r="Q1560" i="34"/>
  <c r="R1560" i="34"/>
  <c r="S1560" i="34"/>
  <c r="P1561" i="34"/>
  <c r="Q1561" i="34"/>
  <c r="R1561" i="34"/>
  <c r="S1561" i="34"/>
  <c r="P1562" i="34"/>
  <c r="Q1562" i="34"/>
  <c r="R1562" i="34"/>
  <c r="S1562" i="34"/>
  <c r="P1563" i="34"/>
  <c r="Q1563" i="34"/>
  <c r="R1563" i="34"/>
  <c r="S1563" i="34"/>
  <c r="P1564" i="34"/>
  <c r="Q1564" i="34"/>
  <c r="R1564" i="34"/>
  <c r="S1564" i="34"/>
  <c r="P1565" i="34"/>
  <c r="Q1565" i="34"/>
  <c r="R1565" i="34"/>
  <c r="S1565" i="34"/>
  <c r="P1566" i="34"/>
  <c r="Q1566" i="34"/>
  <c r="R1566" i="34"/>
  <c r="S1566" i="34"/>
  <c r="P1567" i="34"/>
  <c r="Q1567" i="34"/>
  <c r="R1567" i="34"/>
  <c r="S1567" i="34"/>
  <c r="P1568" i="34"/>
  <c r="Q1568" i="34"/>
  <c r="R1568" i="34"/>
  <c r="S1568" i="34"/>
  <c r="P1569" i="34"/>
  <c r="Q1569" i="34"/>
  <c r="R1569" i="34"/>
  <c r="S1569" i="34"/>
  <c r="P1570" i="34"/>
  <c r="Q1570" i="34"/>
  <c r="R1570" i="34"/>
  <c r="S1570" i="34"/>
  <c r="P1571" i="34"/>
  <c r="Q1571" i="34"/>
  <c r="R1571" i="34"/>
  <c r="S1571" i="34"/>
  <c r="P1572" i="34"/>
  <c r="Q1572" i="34"/>
  <c r="R1572" i="34"/>
  <c r="S1572" i="34"/>
  <c r="P1573" i="34"/>
  <c r="Q1573" i="34"/>
  <c r="R1573" i="34"/>
  <c r="S1573" i="34"/>
  <c r="P1574" i="34"/>
  <c r="Q1574" i="34"/>
  <c r="R1574" i="34"/>
  <c r="S1574" i="34"/>
  <c r="P1575" i="34"/>
  <c r="Q1575" i="34"/>
  <c r="R1575" i="34"/>
  <c r="S1575" i="34"/>
  <c r="P1576" i="34"/>
  <c r="Q1576" i="34"/>
  <c r="R1576" i="34"/>
  <c r="S1576" i="34"/>
  <c r="P1577" i="34"/>
  <c r="Q1577" i="34"/>
  <c r="R1577" i="34"/>
  <c r="S1577" i="34"/>
  <c r="P1578" i="34"/>
  <c r="Q1578" i="34"/>
  <c r="R1578" i="34"/>
  <c r="S1578" i="34"/>
  <c r="P1579" i="34"/>
  <c r="Q1579" i="34"/>
  <c r="R1579" i="34"/>
  <c r="S1579" i="34"/>
  <c r="P1580" i="34"/>
  <c r="Q1580" i="34"/>
  <c r="R1580" i="34"/>
  <c r="S1580" i="34"/>
  <c r="P1581" i="34"/>
  <c r="Q1581" i="34"/>
  <c r="R1581" i="34"/>
  <c r="S1581" i="34"/>
  <c r="P1582" i="34"/>
  <c r="Q1582" i="34"/>
  <c r="R1582" i="34"/>
  <c r="S1582" i="34"/>
  <c r="P1583" i="34"/>
  <c r="Q1583" i="34"/>
  <c r="R1583" i="34"/>
  <c r="S1583" i="34"/>
  <c r="P1584" i="34"/>
  <c r="Q1584" i="34"/>
  <c r="R1584" i="34"/>
  <c r="S1584" i="34"/>
  <c r="P1585" i="34"/>
  <c r="Q1585" i="34"/>
  <c r="R1585" i="34"/>
  <c r="S1585" i="34"/>
  <c r="P1586" i="34"/>
  <c r="Q1586" i="34"/>
  <c r="R1586" i="34"/>
  <c r="S1586" i="34"/>
  <c r="P1587" i="34"/>
  <c r="Q1587" i="34"/>
  <c r="R1587" i="34"/>
  <c r="S1587" i="34"/>
  <c r="P1588" i="34"/>
  <c r="Q1588" i="34"/>
  <c r="R1588" i="34"/>
  <c r="S1588" i="34"/>
  <c r="P1589" i="34"/>
  <c r="Q1589" i="34"/>
  <c r="R1589" i="34"/>
  <c r="S1589" i="34"/>
  <c r="P1590" i="34"/>
  <c r="Q1590" i="34"/>
  <c r="R1590" i="34"/>
  <c r="S1590" i="34"/>
  <c r="P1591" i="34"/>
  <c r="Q1591" i="34"/>
  <c r="R1591" i="34"/>
  <c r="S1591" i="34"/>
  <c r="P1592" i="34"/>
  <c r="Q1592" i="34"/>
  <c r="R1592" i="34"/>
  <c r="S1592" i="34"/>
  <c r="P1593" i="34"/>
  <c r="Q1593" i="34"/>
  <c r="R1593" i="34"/>
  <c r="S1593" i="34"/>
  <c r="P1594" i="34"/>
  <c r="Q1594" i="34"/>
  <c r="R1594" i="34"/>
  <c r="S1594" i="34"/>
  <c r="P1595" i="34"/>
  <c r="Q1595" i="34"/>
  <c r="R1595" i="34"/>
  <c r="S1595" i="34"/>
  <c r="P1596" i="34"/>
  <c r="Q1596" i="34"/>
  <c r="R1596" i="34"/>
  <c r="S1596" i="34"/>
  <c r="P1597" i="34"/>
  <c r="Q1597" i="34"/>
  <c r="R1597" i="34"/>
  <c r="S1597" i="34"/>
  <c r="P1598" i="34"/>
  <c r="Q1598" i="34"/>
  <c r="R1598" i="34"/>
  <c r="S1598" i="34"/>
  <c r="P1599" i="34"/>
  <c r="Q1599" i="34"/>
  <c r="R1599" i="34"/>
  <c r="S1599" i="34"/>
  <c r="P1600" i="34"/>
  <c r="Q1600" i="34"/>
  <c r="R1600" i="34"/>
  <c r="S1600" i="34"/>
  <c r="P1601" i="34"/>
  <c r="Q1601" i="34"/>
  <c r="R1601" i="34"/>
  <c r="S1601" i="34"/>
  <c r="P1602" i="34"/>
  <c r="Q1602" i="34"/>
  <c r="R1602" i="34"/>
  <c r="S1602" i="34"/>
  <c r="P1603" i="34"/>
  <c r="Q1603" i="34"/>
  <c r="R1603" i="34"/>
  <c r="S1603" i="34"/>
  <c r="P1604" i="34"/>
  <c r="Q1604" i="34"/>
  <c r="R1604" i="34"/>
  <c r="S1604" i="34"/>
  <c r="P1605" i="34"/>
  <c r="Q1605" i="34"/>
  <c r="R1605" i="34"/>
  <c r="S1605" i="34"/>
  <c r="P1606" i="34"/>
  <c r="Q1606" i="34"/>
  <c r="R1606" i="34"/>
  <c r="S1606" i="34"/>
  <c r="P1607" i="34"/>
  <c r="Q1607" i="34"/>
  <c r="R1607" i="34"/>
  <c r="S1607" i="34"/>
  <c r="P1608" i="34"/>
  <c r="Q1608" i="34"/>
  <c r="R1608" i="34"/>
  <c r="S1608" i="34"/>
  <c r="P1609" i="34"/>
  <c r="Q1609" i="34"/>
  <c r="R1609" i="34"/>
  <c r="S1609" i="34"/>
  <c r="P1610" i="34"/>
  <c r="Q1610" i="34"/>
  <c r="R1610" i="34"/>
  <c r="S1610" i="34"/>
  <c r="P1611" i="34"/>
  <c r="Q1611" i="34"/>
  <c r="R1611" i="34"/>
  <c r="S1611" i="34"/>
  <c r="P1612" i="34"/>
  <c r="Q1612" i="34"/>
  <c r="R1612" i="34"/>
  <c r="S1612" i="34"/>
  <c r="P1613" i="34"/>
  <c r="Q1613" i="34"/>
  <c r="R1613" i="34"/>
  <c r="S1613" i="34"/>
  <c r="P1614" i="34"/>
  <c r="Q1614" i="34"/>
  <c r="R1614" i="34"/>
  <c r="S1614" i="34"/>
  <c r="P1615" i="34"/>
  <c r="Q1615" i="34"/>
  <c r="R1615" i="34"/>
  <c r="S1615" i="34"/>
  <c r="P1616" i="34"/>
  <c r="Q1616" i="34"/>
  <c r="R1616" i="34"/>
  <c r="S1616" i="34"/>
  <c r="P1617" i="34"/>
  <c r="Q1617" i="34"/>
  <c r="R1617" i="34"/>
  <c r="S1617" i="34"/>
  <c r="P1618" i="34"/>
  <c r="Q1618" i="34"/>
  <c r="R1618" i="34"/>
  <c r="S1618" i="34"/>
  <c r="P1619" i="34"/>
  <c r="Q1619" i="34"/>
  <c r="R1619" i="34"/>
  <c r="S1619" i="34"/>
  <c r="P1620" i="34"/>
  <c r="Q1620" i="34"/>
  <c r="R1620" i="34"/>
  <c r="S1620" i="34"/>
  <c r="P1621" i="34"/>
  <c r="Q1621" i="34"/>
  <c r="R1621" i="34"/>
  <c r="S1621" i="34"/>
  <c r="P1622" i="34"/>
  <c r="Q1622" i="34"/>
  <c r="R1622" i="34"/>
  <c r="S1622" i="34"/>
  <c r="P1623" i="34"/>
  <c r="Q1623" i="34"/>
  <c r="R1623" i="34"/>
  <c r="S1623" i="34"/>
  <c r="P1624" i="34"/>
  <c r="Q1624" i="34"/>
  <c r="R1624" i="34"/>
  <c r="S1624" i="34"/>
  <c r="P1625" i="34"/>
  <c r="Q1625" i="34"/>
  <c r="R1625" i="34"/>
  <c r="S1625" i="34"/>
  <c r="P1626" i="34"/>
  <c r="Q1626" i="34"/>
  <c r="R1626" i="34"/>
  <c r="S1626" i="34"/>
  <c r="P1627" i="34"/>
  <c r="Q1627" i="34"/>
  <c r="R1627" i="34"/>
  <c r="S1627" i="34"/>
  <c r="P1628" i="34"/>
  <c r="Q1628" i="34"/>
  <c r="R1628" i="34"/>
  <c r="S1628" i="34"/>
  <c r="P1629" i="34"/>
  <c r="Q1629" i="34"/>
  <c r="R1629" i="34"/>
  <c r="S1629" i="34"/>
  <c r="P1630" i="34"/>
  <c r="Q1630" i="34"/>
  <c r="R1630" i="34"/>
  <c r="S1630" i="34"/>
  <c r="P1631" i="34"/>
  <c r="Q1631" i="34"/>
  <c r="R1631" i="34"/>
  <c r="S1631" i="34"/>
  <c r="P1632" i="34"/>
  <c r="Q1632" i="34"/>
  <c r="R1632" i="34"/>
  <c r="S1632" i="34"/>
  <c r="P1633" i="34"/>
  <c r="Q1633" i="34"/>
  <c r="R1633" i="34"/>
  <c r="S1633" i="34"/>
  <c r="P1634" i="34"/>
  <c r="Q1634" i="34"/>
  <c r="R1634" i="34"/>
  <c r="S1634" i="34"/>
  <c r="P1635" i="34"/>
  <c r="Q1635" i="34"/>
  <c r="R1635" i="34"/>
  <c r="S1635" i="34"/>
  <c r="P1636" i="34"/>
  <c r="Q1636" i="34"/>
  <c r="R1636" i="34"/>
  <c r="S1636" i="34"/>
  <c r="P1637" i="34"/>
  <c r="Q1637" i="34"/>
  <c r="R1637" i="34"/>
  <c r="S1637" i="34"/>
  <c r="P1638" i="34"/>
  <c r="Q1638" i="34"/>
  <c r="R1638" i="34"/>
  <c r="S1638" i="34"/>
  <c r="P1639" i="34"/>
  <c r="Q1639" i="34"/>
  <c r="R1639" i="34"/>
  <c r="S1639" i="34"/>
  <c r="P1640" i="34"/>
  <c r="Q1640" i="34"/>
  <c r="R1640" i="34"/>
  <c r="S1640" i="34"/>
  <c r="P1641" i="34"/>
  <c r="Q1641" i="34"/>
  <c r="R1641" i="34"/>
  <c r="S1641" i="34"/>
  <c r="P1642" i="34"/>
  <c r="Q1642" i="34"/>
  <c r="R1642" i="34"/>
  <c r="S1642" i="34"/>
  <c r="P1643" i="34"/>
  <c r="Q1643" i="34"/>
  <c r="R1643" i="34"/>
  <c r="S1643" i="34"/>
  <c r="P1644" i="34"/>
  <c r="Q1644" i="34"/>
  <c r="R1644" i="34"/>
  <c r="S1644" i="34"/>
  <c r="P1645" i="34"/>
  <c r="Q1645" i="34"/>
  <c r="R1645" i="34"/>
  <c r="S1645" i="34"/>
  <c r="P1646" i="34"/>
  <c r="Q1646" i="34"/>
  <c r="R1646" i="34"/>
  <c r="S1646" i="34"/>
  <c r="P1647" i="34"/>
  <c r="Q1647" i="34"/>
  <c r="R1647" i="34"/>
  <c r="S1647" i="34"/>
  <c r="P1648" i="34"/>
  <c r="Q1648" i="34"/>
  <c r="R1648" i="34"/>
  <c r="S1648" i="34"/>
  <c r="P1649" i="34"/>
  <c r="Q1649" i="34"/>
  <c r="R1649" i="34"/>
  <c r="S1649" i="34"/>
  <c r="P1650" i="34"/>
  <c r="Q1650" i="34"/>
  <c r="R1650" i="34"/>
  <c r="S1650" i="34"/>
  <c r="P1651" i="34"/>
  <c r="Q1651" i="34"/>
  <c r="R1651" i="34"/>
  <c r="S1651" i="34"/>
  <c r="P1652" i="34"/>
  <c r="Q1652" i="34"/>
  <c r="R1652" i="34"/>
  <c r="S1652" i="34"/>
  <c r="P1653" i="34"/>
  <c r="Q1653" i="34"/>
  <c r="R1653" i="34"/>
  <c r="S1653" i="34"/>
  <c r="P1654" i="34"/>
  <c r="Q1654" i="34"/>
  <c r="R1654" i="34"/>
  <c r="S1654" i="34"/>
  <c r="P1655" i="34"/>
  <c r="Q1655" i="34"/>
  <c r="R1655" i="34"/>
  <c r="S1655" i="34"/>
  <c r="P1656" i="34"/>
  <c r="Q1656" i="34"/>
  <c r="R1656" i="34"/>
  <c r="S1656" i="34"/>
  <c r="P1657" i="34"/>
  <c r="Q1657" i="34"/>
  <c r="R1657" i="34"/>
  <c r="S1657" i="34"/>
  <c r="P1658" i="34"/>
  <c r="Q1658" i="34"/>
  <c r="R1658" i="34"/>
  <c r="S1658" i="34"/>
  <c r="P1659" i="34"/>
  <c r="Q1659" i="34"/>
  <c r="R1659" i="34"/>
  <c r="S1659" i="34"/>
  <c r="P1660" i="34"/>
  <c r="Q1660" i="34"/>
  <c r="R1660" i="34"/>
  <c r="S1660" i="34"/>
  <c r="P1661" i="34"/>
  <c r="Q1661" i="34"/>
  <c r="R1661" i="34"/>
  <c r="S1661" i="34"/>
  <c r="P1662" i="34"/>
  <c r="Q1662" i="34"/>
  <c r="R1662" i="34"/>
  <c r="S1662" i="34"/>
  <c r="P1663" i="34"/>
  <c r="Q1663" i="34"/>
  <c r="R1663" i="34"/>
  <c r="S1663" i="34"/>
  <c r="P1664" i="34"/>
  <c r="Q1664" i="34"/>
  <c r="R1664" i="34"/>
  <c r="S1664" i="34"/>
  <c r="P1665" i="34"/>
  <c r="Q1665" i="34"/>
  <c r="R1665" i="34"/>
  <c r="S1665" i="34"/>
  <c r="P1666" i="34"/>
  <c r="Q1666" i="34"/>
  <c r="R1666" i="34"/>
  <c r="S1666" i="34"/>
  <c r="P1667" i="34"/>
  <c r="Q1667" i="34"/>
  <c r="R1667" i="34"/>
  <c r="S1667" i="34"/>
  <c r="P1668" i="34"/>
  <c r="Q1668" i="34"/>
  <c r="R1668" i="34"/>
  <c r="S1668" i="34"/>
  <c r="P1669" i="34"/>
  <c r="Q1669" i="34"/>
  <c r="R1669" i="34"/>
  <c r="S1669" i="34"/>
  <c r="P1670" i="34"/>
  <c r="Q1670" i="34"/>
  <c r="R1670" i="34"/>
  <c r="S1670" i="34"/>
  <c r="P1671" i="34"/>
  <c r="Q1671" i="34"/>
  <c r="R1671" i="34"/>
  <c r="S1671" i="34"/>
  <c r="P1672" i="34"/>
  <c r="Q1672" i="34"/>
  <c r="R1672" i="34"/>
  <c r="S1672" i="34"/>
  <c r="P1673" i="34"/>
  <c r="Q1673" i="34"/>
  <c r="R1673" i="34"/>
  <c r="S1673" i="34"/>
  <c r="P1674" i="34"/>
  <c r="Q1674" i="34"/>
  <c r="R1674" i="34"/>
  <c r="S1674" i="34"/>
  <c r="P1675" i="34"/>
  <c r="Q1675" i="34"/>
  <c r="R1675" i="34"/>
  <c r="S1675" i="34"/>
  <c r="P1676" i="34"/>
  <c r="Q1676" i="34"/>
  <c r="R1676" i="34"/>
  <c r="S1676" i="34"/>
  <c r="P1677" i="34"/>
  <c r="Q1677" i="34"/>
  <c r="R1677" i="34"/>
  <c r="S1677" i="34"/>
  <c r="P1678" i="34"/>
  <c r="Q1678" i="34"/>
  <c r="R1678" i="34"/>
  <c r="S1678" i="34"/>
  <c r="P1679" i="34"/>
  <c r="Q1679" i="34"/>
  <c r="R1679" i="34"/>
  <c r="S1679" i="34"/>
  <c r="P1680" i="34"/>
  <c r="Q1680" i="34"/>
  <c r="R1680" i="34"/>
  <c r="S1680" i="34"/>
  <c r="P1681" i="34"/>
  <c r="Q1681" i="34"/>
  <c r="R1681" i="34"/>
  <c r="S1681" i="34"/>
  <c r="P1682" i="34"/>
  <c r="Q1682" i="34"/>
  <c r="R1682" i="34"/>
  <c r="S1682" i="34"/>
  <c r="P1683" i="34"/>
  <c r="Q1683" i="34"/>
  <c r="R1683" i="34"/>
  <c r="S1683" i="34"/>
  <c r="P1684" i="34"/>
  <c r="Q1684" i="34"/>
  <c r="R1684" i="34"/>
  <c r="S1684" i="34"/>
  <c r="P1685" i="34"/>
  <c r="Q1685" i="34"/>
  <c r="R1685" i="34"/>
  <c r="S1685" i="34"/>
  <c r="P1686" i="34"/>
  <c r="Q1686" i="34"/>
  <c r="R1686" i="34"/>
  <c r="S1686" i="34"/>
  <c r="P1687" i="34"/>
  <c r="Q1687" i="34"/>
  <c r="R1687" i="34"/>
  <c r="S1687" i="34"/>
  <c r="P1688" i="34"/>
  <c r="Q1688" i="34"/>
  <c r="R1688" i="34"/>
  <c r="S1688" i="34"/>
  <c r="P1689" i="34"/>
  <c r="Q1689" i="34"/>
  <c r="R1689" i="34"/>
  <c r="S1689" i="34"/>
  <c r="P1690" i="34"/>
  <c r="Q1690" i="34"/>
  <c r="R1690" i="34"/>
  <c r="S1690" i="34"/>
  <c r="P1691" i="34"/>
  <c r="Q1691" i="34"/>
  <c r="R1691" i="34"/>
  <c r="S1691" i="34"/>
  <c r="P1692" i="34"/>
  <c r="Q1692" i="34"/>
  <c r="R1692" i="34"/>
  <c r="S1692" i="34"/>
  <c r="P1693" i="34"/>
  <c r="Q1693" i="34"/>
  <c r="R1693" i="34"/>
  <c r="S1693" i="34"/>
  <c r="P1694" i="34"/>
  <c r="Q1694" i="34"/>
  <c r="R1694" i="34"/>
  <c r="S1694" i="34"/>
  <c r="P1695" i="34"/>
  <c r="Q1695" i="34"/>
  <c r="R1695" i="34"/>
  <c r="S1695" i="34"/>
  <c r="P1696" i="34"/>
  <c r="Q1696" i="34"/>
  <c r="R1696" i="34"/>
  <c r="S1696" i="34"/>
  <c r="P1697" i="34"/>
  <c r="Q1697" i="34"/>
  <c r="R1697" i="34"/>
  <c r="S1697" i="34"/>
  <c r="P1698" i="34"/>
  <c r="Q1698" i="34"/>
  <c r="R1698" i="34"/>
  <c r="S1698" i="34"/>
  <c r="P1699" i="34"/>
  <c r="Q1699" i="34"/>
  <c r="R1699" i="34"/>
  <c r="S1699" i="34"/>
  <c r="P1700" i="34"/>
  <c r="Q1700" i="34"/>
  <c r="R1700" i="34"/>
  <c r="S1700" i="34"/>
  <c r="P1701" i="34"/>
  <c r="Q1701" i="34"/>
  <c r="R1701" i="34"/>
  <c r="S1701" i="34"/>
  <c r="P1702" i="34"/>
  <c r="Q1702" i="34"/>
  <c r="R1702" i="34"/>
  <c r="S1702" i="34"/>
  <c r="P1703" i="34"/>
  <c r="Q1703" i="34"/>
  <c r="R1703" i="34"/>
  <c r="S1703" i="34"/>
  <c r="P1704" i="34"/>
  <c r="Q1704" i="34"/>
  <c r="R1704" i="34"/>
  <c r="S1704" i="34"/>
  <c r="P1705" i="34"/>
  <c r="Q1705" i="34"/>
  <c r="R1705" i="34"/>
  <c r="S1705" i="34"/>
  <c r="P1706" i="34"/>
  <c r="Q1706" i="34"/>
  <c r="R1706" i="34"/>
  <c r="S1706" i="34"/>
  <c r="P1707" i="34"/>
  <c r="Q1707" i="34"/>
  <c r="R1707" i="34"/>
  <c r="S1707" i="34"/>
  <c r="P1708" i="34"/>
  <c r="Q1708" i="34"/>
  <c r="R1708" i="34"/>
  <c r="S1708" i="34"/>
  <c r="P1709" i="34"/>
  <c r="Q1709" i="34"/>
  <c r="R1709" i="34"/>
  <c r="S1709" i="34"/>
  <c r="P1710" i="34"/>
  <c r="Q1710" i="34"/>
  <c r="R1710" i="34"/>
  <c r="S1710" i="34"/>
  <c r="P1711" i="34"/>
  <c r="Q1711" i="34"/>
  <c r="R1711" i="34"/>
  <c r="S1711" i="34"/>
  <c r="P1712" i="34"/>
  <c r="Q1712" i="34"/>
  <c r="R1712" i="34"/>
  <c r="S1712" i="34"/>
  <c r="P1713" i="34"/>
  <c r="Q1713" i="34"/>
  <c r="R1713" i="34"/>
  <c r="S1713" i="34"/>
  <c r="P1714" i="34"/>
  <c r="Q1714" i="34"/>
  <c r="R1714" i="34"/>
  <c r="S1714" i="34"/>
  <c r="P1715" i="34"/>
  <c r="Q1715" i="34"/>
  <c r="R1715" i="34"/>
  <c r="S1715" i="34"/>
  <c r="P1716" i="34"/>
  <c r="Q1716" i="34"/>
  <c r="R1716" i="34"/>
  <c r="S1716" i="34"/>
  <c r="P1717" i="34"/>
  <c r="Q1717" i="34"/>
  <c r="R1717" i="34"/>
  <c r="S1717" i="34"/>
  <c r="P1718" i="34"/>
  <c r="Q1718" i="34"/>
  <c r="R1718" i="34"/>
  <c r="S1718" i="34"/>
  <c r="P1719" i="34"/>
  <c r="Q1719" i="34"/>
  <c r="R1719" i="34"/>
  <c r="S1719" i="34"/>
  <c r="P1720" i="34"/>
  <c r="Q1720" i="34"/>
  <c r="R1720" i="34"/>
  <c r="S1720" i="34"/>
  <c r="P1721" i="34"/>
  <c r="Q1721" i="34"/>
  <c r="R1721" i="34"/>
  <c r="S1721" i="34"/>
  <c r="P1722" i="34"/>
  <c r="Q1722" i="34"/>
  <c r="R1722" i="34"/>
  <c r="S1722" i="34"/>
  <c r="P1723" i="34"/>
  <c r="Q1723" i="34"/>
  <c r="R1723" i="34"/>
  <c r="S1723" i="34"/>
  <c r="P1724" i="34"/>
  <c r="Q1724" i="34"/>
  <c r="R1724" i="34"/>
  <c r="S1724" i="34"/>
  <c r="P1725" i="34"/>
  <c r="Q1725" i="34"/>
  <c r="R1725" i="34"/>
  <c r="S1725" i="34"/>
  <c r="P1726" i="34"/>
  <c r="Q1726" i="34"/>
  <c r="R1726" i="34"/>
  <c r="S1726" i="34"/>
  <c r="P1727" i="34"/>
  <c r="Q1727" i="34"/>
  <c r="R1727" i="34"/>
  <c r="S1727" i="34"/>
  <c r="P1728" i="34"/>
  <c r="Q1728" i="34"/>
  <c r="R1728" i="34"/>
  <c r="S1728" i="34"/>
  <c r="P1729" i="34"/>
  <c r="Q1729" i="34"/>
  <c r="R1729" i="34"/>
  <c r="S1729" i="34"/>
  <c r="P1730" i="34"/>
  <c r="Q1730" i="34"/>
  <c r="R1730" i="34"/>
  <c r="S1730" i="34"/>
  <c r="P1731" i="34"/>
  <c r="Q1731" i="34"/>
  <c r="R1731" i="34"/>
  <c r="S1731" i="34"/>
  <c r="P1732" i="34"/>
  <c r="Q1732" i="34"/>
  <c r="R1732" i="34"/>
  <c r="S1732" i="34"/>
  <c r="P1733" i="34"/>
  <c r="Q1733" i="34"/>
  <c r="R1733" i="34"/>
  <c r="S1733" i="34"/>
  <c r="P1734" i="34"/>
  <c r="Q1734" i="34"/>
  <c r="R1734" i="34"/>
  <c r="S1734" i="34"/>
  <c r="P1735" i="34"/>
  <c r="Q1735" i="34"/>
  <c r="R1735" i="34"/>
  <c r="S1735" i="34"/>
  <c r="P1736" i="34"/>
  <c r="Q1736" i="34"/>
  <c r="R1736" i="34"/>
  <c r="S1736" i="34"/>
  <c r="P1737" i="34"/>
  <c r="Q1737" i="34"/>
  <c r="R1737" i="34"/>
  <c r="S1737" i="34"/>
  <c r="P1738" i="34"/>
  <c r="Q1738" i="34"/>
  <c r="R1738" i="34"/>
  <c r="S1738" i="34"/>
  <c r="P1739" i="34"/>
  <c r="Q1739" i="34"/>
  <c r="R1739" i="34"/>
  <c r="S1739" i="34"/>
  <c r="P1740" i="34"/>
  <c r="Q1740" i="34"/>
  <c r="R1740" i="34"/>
  <c r="S1740" i="34"/>
  <c r="P1741" i="34"/>
  <c r="Q1741" i="34"/>
  <c r="R1741" i="34"/>
  <c r="S1741" i="34"/>
  <c r="P1742" i="34"/>
  <c r="Q1742" i="34"/>
  <c r="R1742" i="34"/>
  <c r="S1742" i="34"/>
  <c r="P1743" i="34"/>
  <c r="Q1743" i="34"/>
  <c r="R1743" i="34"/>
  <c r="S1743" i="34"/>
  <c r="P1744" i="34"/>
  <c r="Q1744" i="34"/>
  <c r="R1744" i="34"/>
  <c r="S1744" i="34"/>
  <c r="P1745" i="34"/>
  <c r="Q1745" i="34"/>
  <c r="R1745" i="34"/>
  <c r="S1745" i="34"/>
  <c r="P1746" i="34"/>
  <c r="Q1746" i="34"/>
  <c r="R1746" i="34"/>
  <c r="S1746" i="34"/>
  <c r="P1747" i="34"/>
  <c r="Q1747" i="34"/>
  <c r="R1747" i="34"/>
  <c r="S1747" i="34"/>
  <c r="P1748" i="34"/>
  <c r="Q1748" i="34"/>
  <c r="R1748" i="34"/>
  <c r="S1748" i="34"/>
  <c r="P1749" i="34"/>
  <c r="Q1749" i="34"/>
  <c r="R1749" i="34"/>
  <c r="S1749" i="34"/>
  <c r="P1750" i="34"/>
  <c r="Q1750" i="34"/>
  <c r="R1750" i="34"/>
  <c r="S1750" i="34"/>
  <c r="P1751" i="34"/>
  <c r="Q1751" i="34"/>
  <c r="R1751" i="34"/>
  <c r="S1751" i="34"/>
  <c r="P1752" i="34"/>
  <c r="Q1752" i="34"/>
  <c r="R1752" i="34"/>
  <c r="S1752" i="34"/>
  <c r="P1753" i="34"/>
  <c r="Q1753" i="34"/>
  <c r="R1753" i="34"/>
  <c r="S1753" i="34"/>
  <c r="P1754" i="34"/>
  <c r="Q1754" i="34"/>
  <c r="R1754" i="34"/>
  <c r="S1754" i="34"/>
  <c r="P1755" i="34"/>
  <c r="Q1755" i="34"/>
  <c r="R1755" i="34"/>
  <c r="S1755" i="34"/>
  <c r="P1756" i="34"/>
  <c r="Q1756" i="34"/>
  <c r="R1756" i="34"/>
  <c r="S1756" i="34"/>
  <c r="P1757" i="34"/>
  <c r="Q1757" i="34"/>
  <c r="R1757" i="34"/>
  <c r="S1757" i="34"/>
  <c r="P1758" i="34"/>
  <c r="Q1758" i="34"/>
  <c r="R1758" i="34"/>
  <c r="S1758" i="34"/>
  <c r="P1759" i="34"/>
  <c r="Q1759" i="34"/>
  <c r="R1759" i="34"/>
  <c r="S1759" i="34"/>
  <c r="P1760" i="34"/>
  <c r="Q1760" i="34"/>
  <c r="R1760" i="34"/>
  <c r="S1760" i="34"/>
  <c r="P1761" i="34"/>
  <c r="Q1761" i="34"/>
  <c r="R1761" i="34"/>
  <c r="S1761" i="34"/>
  <c r="P1762" i="34"/>
  <c r="Q1762" i="34"/>
  <c r="R1762" i="34"/>
  <c r="S1762" i="34"/>
  <c r="P1763" i="34"/>
  <c r="Q1763" i="34"/>
  <c r="R1763" i="34"/>
  <c r="S1763" i="34"/>
  <c r="P1764" i="34"/>
  <c r="Q1764" i="34"/>
  <c r="R1764" i="34"/>
  <c r="S1764" i="34"/>
  <c r="P1765" i="34"/>
  <c r="Q1765" i="34"/>
  <c r="R1765" i="34"/>
  <c r="S1765" i="34"/>
  <c r="P1766" i="34"/>
  <c r="Q1766" i="34"/>
  <c r="R1766" i="34"/>
  <c r="S1766" i="34"/>
  <c r="P1767" i="34"/>
  <c r="Q1767" i="34"/>
  <c r="R1767" i="34"/>
  <c r="S1767" i="34"/>
  <c r="P1768" i="34"/>
  <c r="Q1768" i="34"/>
  <c r="R1768" i="34"/>
  <c r="S1768" i="34"/>
  <c r="P1769" i="34"/>
  <c r="Q1769" i="34"/>
  <c r="R1769" i="34"/>
  <c r="S1769" i="34"/>
  <c r="P1770" i="34"/>
  <c r="Q1770" i="34"/>
  <c r="R1770" i="34"/>
  <c r="S1770" i="34"/>
  <c r="P1771" i="34"/>
  <c r="Q1771" i="34"/>
  <c r="R1771" i="34"/>
  <c r="S1771" i="34"/>
  <c r="P1772" i="34"/>
  <c r="Q1772" i="34"/>
  <c r="R1772" i="34"/>
  <c r="S1772" i="34"/>
  <c r="P1773" i="34"/>
  <c r="Q1773" i="34"/>
  <c r="R1773" i="34"/>
  <c r="S1773" i="34"/>
  <c r="P1774" i="34"/>
  <c r="Q1774" i="34"/>
  <c r="R1774" i="34"/>
  <c r="S1774" i="34"/>
  <c r="P1775" i="34"/>
  <c r="Q1775" i="34"/>
  <c r="R1775" i="34"/>
  <c r="S1775" i="34"/>
  <c r="P1776" i="34"/>
  <c r="Q1776" i="34"/>
  <c r="R1776" i="34"/>
  <c r="S1776" i="34"/>
  <c r="P1777" i="34"/>
  <c r="Q1777" i="34"/>
  <c r="R1777" i="34"/>
  <c r="S1777" i="34"/>
  <c r="P1778" i="34"/>
  <c r="Q1778" i="34"/>
  <c r="R1778" i="34"/>
  <c r="S1778" i="34"/>
  <c r="P1779" i="34"/>
  <c r="Q1779" i="34"/>
  <c r="R1779" i="34"/>
  <c r="S1779" i="34"/>
  <c r="P1780" i="34"/>
  <c r="Q1780" i="34"/>
  <c r="R1780" i="34"/>
  <c r="S1780" i="34"/>
  <c r="P1781" i="34"/>
  <c r="Q1781" i="34"/>
  <c r="R1781" i="34"/>
  <c r="S1781" i="34"/>
  <c r="P1782" i="34"/>
  <c r="Q1782" i="34"/>
  <c r="R1782" i="34"/>
  <c r="S1782" i="34"/>
  <c r="P1783" i="34"/>
  <c r="Q1783" i="34"/>
  <c r="R1783" i="34"/>
  <c r="S1783" i="34"/>
  <c r="P1784" i="34"/>
  <c r="Q1784" i="34"/>
  <c r="R1784" i="34"/>
  <c r="S1784" i="34"/>
  <c r="P1785" i="34"/>
  <c r="Q1785" i="34"/>
  <c r="R1785" i="34"/>
  <c r="S1785" i="34"/>
  <c r="P1786" i="34"/>
  <c r="Q1786" i="34"/>
  <c r="R1786" i="34"/>
  <c r="S1786" i="34"/>
  <c r="P1787" i="34"/>
  <c r="Q1787" i="34"/>
  <c r="R1787" i="34"/>
  <c r="S1787" i="34"/>
  <c r="P1788" i="34"/>
  <c r="Q1788" i="34"/>
  <c r="R1788" i="34"/>
  <c r="S1788" i="34"/>
  <c r="P1789" i="34"/>
  <c r="Q1789" i="34"/>
  <c r="R1789" i="34"/>
  <c r="S1789" i="34"/>
  <c r="P1790" i="34"/>
  <c r="Q1790" i="34"/>
  <c r="R1790" i="34"/>
  <c r="S1790" i="34"/>
  <c r="P1791" i="34"/>
  <c r="Q1791" i="34"/>
  <c r="R1791" i="34"/>
  <c r="S1791" i="34"/>
  <c r="P1792" i="34"/>
  <c r="Q1792" i="34"/>
  <c r="R1792" i="34"/>
  <c r="S1792" i="34"/>
  <c r="P1793" i="34"/>
  <c r="Q1793" i="34"/>
  <c r="R1793" i="34"/>
  <c r="S1793" i="34"/>
  <c r="P1794" i="34"/>
  <c r="Q1794" i="34"/>
  <c r="R1794" i="34"/>
  <c r="S1794" i="34"/>
  <c r="P1795" i="34"/>
  <c r="Q1795" i="34"/>
  <c r="R1795" i="34"/>
  <c r="S1795" i="34"/>
  <c r="P1796" i="34"/>
  <c r="Q1796" i="34"/>
  <c r="R1796" i="34"/>
  <c r="S1796" i="34"/>
  <c r="P1797" i="34"/>
  <c r="Q1797" i="34"/>
  <c r="R1797" i="34"/>
  <c r="S1797" i="34"/>
  <c r="P1798" i="34"/>
  <c r="Q1798" i="34"/>
  <c r="R1798" i="34"/>
  <c r="S1798" i="34"/>
  <c r="P1799" i="34"/>
  <c r="Q1799" i="34"/>
  <c r="R1799" i="34"/>
  <c r="S1799" i="34"/>
  <c r="P1800" i="34"/>
  <c r="Q1800" i="34"/>
  <c r="R1800" i="34"/>
  <c r="S1800" i="34"/>
  <c r="P1801" i="34"/>
  <c r="Q1801" i="34"/>
  <c r="R1801" i="34"/>
  <c r="S1801" i="34"/>
  <c r="P1802" i="34"/>
  <c r="Q1802" i="34"/>
  <c r="R1802" i="34"/>
  <c r="S1802" i="34"/>
  <c r="P1803" i="34"/>
  <c r="Q1803" i="34"/>
  <c r="R1803" i="34"/>
  <c r="S1803" i="34"/>
  <c r="P1804" i="34"/>
  <c r="Q1804" i="34"/>
  <c r="R1804" i="34"/>
  <c r="S1804" i="34"/>
  <c r="P1805" i="34"/>
  <c r="Q1805" i="34"/>
  <c r="R1805" i="34"/>
  <c r="S1805" i="34"/>
  <c r="P1806" i="34"/>
  <c r="Q1806" i="34"/>
  <c r="R1806" i="34"/>
  <c r="S1806" i="34"/>
  <c r="P1807" i="34"/>
  <c r="Q1807" i="34"/>
  <c r="R1807" i="34"/>
  <c r="S1807" i="34"/>
  <c r="P1808" i="34"/>
  <c r="Q1808" i="34"/>
  <c r="R1808" i="34"/>
  <c r="S1808" i="34"/>
  <c r="P1809" i="34"/>
  <c r="Q1809" i="34"/>
  <c r="R1809" i="34"/>
  <c r="S1809" i="34"/>
  <c r="P1810" i="34"/>
  <c r="Q1810" i="34"/>
  <c r="R1810" i="34"/>
  <c r="S1810" i="34"/>
  <c r="P1811" i="34"/>
  <c r="Q1811" i="34"/>
  <c r="R1811" i="34"/>
  <c r="S1811" i="34"/>
  <c r="P1812" i="34"/>
  <c r="Q1812" i="34"/>
  <c r="R1812" i="34"/>
  <c r="S1812" i="34"/>
  <c r="P1813" i="34"/>
  <c r="Q1813" i="34"/>
  <c r="R1813" i="34"/>
  <c r="S1813" i="34"/>
  <c r="P1814" i="34"/>
  <c r="Q1814" i="34"/>
  <c r="R1814" i="34"/>
  <c r="S1814" i="34"/>
  <c r="P1815" i="34"/>
  <c r="Q1815" i="34"/>
  <c r="R1815" i="34"/>
  <c r="S1815" i="34"/>
  <c r="P1816" i="34"/>
  <c r="Q1816" i="34"/>
  <c r="R1816" i="34"/>
  <c r="S1816" i="34"/>
  <c r="P1817" i="34"/>
  <c r="Q1817" i="34"/>
  <c r="R1817" i="34"/>
  <c r="S1817" i="34"/>
  <c r="P1818" i="34"/>
  <c r="Q1818" i="34"/>
  <c r="R1818" i="34"/>
  <c r="S1818" i="34"/>
  <c r="P1819" i="34"/>
  <c r="Q1819" i="34"/>
  <c r="R1819" i="34"/>
  <c r="S1819" i="34"/>
  <c r="P1820" i="34"/>
  <c r="Q1820" i="34"/>
  <c r="R1820" i="34"/>
  <c r="S1820" i="34"/>
  <c r="P1821" i="34"/>
  <c r="Q1821" i="34"/>
  <c r="R1821" i="34"/>
  <c r="S1821" i="34"/>
  <c r="P1822" i="34"/>
  <c r="Q1822" i="34"/>
  <c r="R1822" i="34"/>
  <c r="S1822" i="34"/>
  <c r="P1823" i="34"/>
  <c r="Q1823" i="34"/>
  <c r="R1823" i="34"/>
  <c r="S1823" i="34"/>
  <c r="P1824" i="34"/>
  <c r="Q1824" i="34"/>
  <c r="R1824" i="34"/>
  <c r="S1824" i="34"/>
  <c r="P1825" i="34"/>
  <c r="Q1825" i="34"/>
  <c r="R1825" i="34"/>
  <c r="S1825" i="34"/>
  <c r="P1826" i="34"/>
  <c r="Q1826" i="34"/>
  <c r="R1826" i="34"/>
  <c r="S1826" i="34"/>
  <c r="P1827" i="34"/>
  <c r="Q1827" i="34"/>
  <c r="R1827" i="34"/>
  <c r="S1827" i="34"/>
  <c r="P1828" i="34"/>
  <c r="Q1828" i="34"/>
  <c r="R1828" i="34"/>
  <c r="S1828" i="34"/>
  <c r="P1829" i="34"/>
  <c r="Q1829" i="34"/>
  <c r="R1829" i="34"/>
  <c r="S1829" i="34"/>
  <c r="P1830" i="34"/>
  <c r="Q1830" i="34"/>
  <c r="R1830" i="34"/>
  <c r="S1830" i="34"/>
  <c r="P1831" i="34"/>
  <c r="Q1831" i="34"/>
  <c r="R1831" i="34"/>
  <c r="S1831" i="34"/>
  <c r="P1832" i="34"/>
  <c r="Q1832" i="34"/>
  <c r="R1832" i="34"/>
  <c r="S1832" i="34"/>
  <c r="P1833" i="34"/>
  <c r="Q1833" i="34"/>
  <c r="R1833" i="34"/>
  <c r="S1833" i="34"/>
  <c r="P1834" i="34"/>
  <c r="Q1834" i="34"/>
  <c r="R1834" i="34"/>
  <c r="S1834" i="34"/>
  <c r="P1835" i="34"/>
  <c r="Q1835" i="34"/>
  <c r="R1835" i="34"/>
  <c r="S1835" i="34"/>
  <c r="P1836" i="34"/>
  <c r="Q1836" i="34"/>
  <c r="R1836" i="34"/>
  <c r="S1836" i="34"/>
  <c r="P1837" i="34"/>
  <c r="Q1837" i="34"/>
  <c r="R1837" i="34"/>
  <c r="S1837" i="34"/>
  <c r="P1838" i="34"/>
  <c r="Q1838" i="34"/>
  <c r="R1838" i="34"/>
  <c r="S1838" i="34"/>
  <c r="P1839" i="34"/>
  <c r="Q1839" i="34"/>
  <c r="R1839" i="34"/>
  <c r="S1839" i="34"/>
  <c r="P1840" i="34"/>
  <c r="Q1840" i="34"/>
  <c r="R1840" i="34"/>
  <c r="S1840" i="34"/>
  <c r="P1841" i="34"/>
  <c r="Q1841" i="34"/>
  <c r="R1841" i="34"/>
  <c r="S1841" i="34"/>
  <c r="P1842" i="34"/>
  <c r="Q1842" i="34"/>
  <c r="R1842" i="34"/>
  <c r="S1842" i="34"/>
  <c r="P1843" i="34"/>
  <c r="Q1843" i="34"/>
  <c r="R1843" i="34"/>
  <c r="S1843" i="34"/>
  <c r="P1844" i="34"/>
  <c r="Q1844" i="34"/>
  <c r="R1844" i="34"/>
  <c r="S1844" i="34"/>
  <c r="P1845" i="34"/>
  <c r="Q1845" i="34"/>
  <c r="R1845" i="34"/>
  <c r="S1845" i="34"/>
  <c r="P1846" i="34"/>
  <c r="Q1846" i="34"/>
  <c r="R1846" i="34"/>
  <c r="S1846" i="34"/>
  <c r="P1847" i="34"/>
  <c r="Q1847" i="34"/>
  <c r="R1847" i="34"/>
  <c r="S1847" i="34"/>
  <c r="P1848" i="34"/>
  <c r="Q1848" i="34"/>
  <c r="R1848" i="34"/>
  <c r="S1848" i="34"/>
  <c r="P1849" i="34"/>
  <c r="Q1849" i="34"/>
  <c r="R1849" i="34"/>
  <c r="S1849" i="34"/>
  <c r="P1850" i="34"/>
  <c r="Q1850" i="34"/>
  <c r="R1850" i="34"/>
  <c r="S1850" i="34"/>
  <c r="P1851" i="34"/>
  <c r="Q1851" i="34"/>
  <c r="R1851" i="34"/>
  <c r="S1851" i="34"/>
  <c r="P1852" i="34"/>
  <c r="Q1852" i="34"/>
  <c r="R1852" i="34"/>
  <c r="S1852" i="34"/>
  <c r="P1853" i="34"/>
  <c r="Q1853" i="34"/>
  <c r="R1853" i="34"/>
  <c r="S1853" i="34"/>
  <c r="P1854" i="34"/>
  <c r="Q1854" i="34"/>
  <c r="R1854" i="34"/>
  <c r="S1854" i="34"/>
  <c r="P1855" i="34"/>
  <c r="Q1855" i="34"/>
  <c r="R1855" i="34"/>
  <c r="S1855" i="34"/>
  <c r="P1856" i="34"/>
  <c r="Q1856" i="34"/>
  <c r="R1856" i="34"/>
  <c r="S1856" i="34"/>
  <c r="P1857" i="34"/>
  <c r="Q1857" i="34"/>
  <c r="R1857" i="34"/>
  <c r="S1857" i="34"/>
  <c r="P1858" i="34"/>
  <c r="Q1858" i="34"/>
  <c r="R1858" i="34"/>
  <c r="S1858" i="34"/>
  <c r="P1859" i="34"/>
  <c r="Q1859" i="34"/>
  <c r="R1859" i="34"/>
  <c r="S1859" i="34"/>
  <c r="P1860" i="34"/>
  <c r="Q1860" i="34"/>
  <c r="R1860" i="34"/>
  <c r="S1860" i="34"/>
  <c r="P1861" i="34"/>
  <c r="Q1861" i="34"/>
  <c r="R1861" i="34"/>
  <c r="S1861" i="34"/>
  <c r="P1862" i="34"/>
  <c r="Q1862" i="34"/>
  <c r="R1862" i="34"/>
  <c r="S1862" i="34"/>
  <c r="P1863" i="34"/>
  <c r="Q1863" i="34"/>
  <c r="R1863" i="34"/>
  <c r="S1863" i="34"/>
  <c r="P1864" i="34"/>
  <c r="Q1864" i="34"/>
  <c r="R1864" i="34"/>
  <c r="S1864" i="34"/>
  <c r="P1865" i="34"/>
  <c r="Q1865" i="34"/>
  <c r="R1865" i="34"/>
  <c r="S1865" i="34"/>
  <c r="P1866" i="34"/>
  <c r="Q1866" i="34"/>
  <c r="R1866" i="34"/>
  <c r="S1866" i="34"/>
  <c r="P1867" i="34"/>
  <c r="Q1867" i="34"/>
  <c r="R1867" i="34"/>
  <c r="S1867" i="34"/>
  <c r="P1868" i="34"/>
  <c r="Q1868" i="34"/>
  <c r="R1868" i="34"/>
  <c r="S1868" i="34"/>
  <c r="P1869" i="34"/>
  <c r="Q1869" i="34"/>
  <c r="R1869" i="34"/>
  <c r="S1869" i="34"/>
  <c r="P1870" i="34"/>
  <c r="Q1870" i="34"/>
  <c r="R1870" i="34"/>
  <c r="S1870" i="34"/>
  <c r="P1871" i="34"/>
  <c r="Q1871" i="34"/>
  <c r="R1871" i="34"/>
  <c r="S1871" i="34"/>
  <c r="P1872" i="34"/>
  <c r="Q1872" i="34"/>
  <c r="R1872" i="34"/>
  <c r="S1872" i="34"/>
  <c r="P1873" i="34"/>
  <c r="Q1873" i="34"/>
  <c r="R1873" i="34"/>
  <c r="S1873" i="34"/>
  <c r="P1874" i="34"/>
  <c r="Q1874" i="34"/>
  <c r="R1874" i="34"/>
  <c r="S1874" i="34"/>
  <c r="P1875" i="34"/>
  <c r="Q1875" i="34"/>
  <c r="R1875" i="34"/>
  <c r="S1875" i="34"/>
  <c r="P1876" i="34"/>
  <c r="Q1876" i="34"/>
  <c r="R1876" i="34"/>
  <c r="S1876" i="34"/>
  <c r="P1877" i="34"/>
  <c r="Q1877" i="34"/>
  <c r="R1877" i="34"/>
  <c r="S1877" i="34"/>
  <c r="P1878" i="34"/>
  <c r="Q1878" i="34"/>
  <c r="R1878" i="34"/>
  <c r="S1878" i="34"/>
  <c r="P1879" i="34"/>
  <c r="Q1879" i="34"/>
  <c r="R1879" i="34"/>
  <c r="S1879" i="34"/>
  <c r="P1880" i="34"/>
  <c r="Q1880" i="34"/>
  <c r="R1880" i="34"/>
  <c r="S1880" i="34"/>
  <c r="P1881" i="34"/>
  <c r="Q1881" i="34"/>
  <c r="R1881" i="34"/>
  <c r="S1881" i="34"/>
  <c r="P1882" i="34"/>
  <c r="Q1882" i="34"/>
  <c r="R1882" i="34"/>
  <c r="S1882" i="34"/>
  <c r="P1883" i="34"/>
  <c r="Q1883" i="34"/>
  <c r="R1883" i="34"/>
  <c r="S1883" i="34"/>
  <c r="P1884" i="34"/>
  <c r="Q1884" i="34"/>
  <c r="R1884" i="34"/>
  <c r="S1884" i="34"/>
  <c r="P1885" i="34"/>
  <c r="Q1885" i="34"/>
  <c r="R1885" i="34"/>
  <c r="S1885" i="34"/>
  <c r="P1886" i="34"/>
  <c r="Q1886" i="34"/>
  <c r="R1886" i="34"/>
  <c r="S1886" i="34"/>
  <c r="P1887" i="34"/>
  <c r="Q1887" i="34"/>
  <c r="R1887" i="34"/>
  <c r="S1887" i="34"/>
  <c r="P1888" i="34"/>
  <c r="Q1888" i="34"/>
  <c r="R1888" i="34"/>
  <c r="S1888" i="34"/>
  <c r="P1889" i="34"/>
  <c r="Q1889" i="34"/>
  <c r="R1889" i="34"/>
  <c r="S1889" i="34"/>
  <c r="P1890" i="34"/>
  <c r="Q1890" i="34"/>
  <c r="R1890" i="34"/>
  <c r="S1890" i="34"/>
  <c r="P1891" i="34"/>
  <c r="Q1891" i="34"/>
  <c r="R1891" i="34"/>
  <c r="S1891" i="34"/>
  <c r="P1892" i="34"/>
  <c r="Q1892" i="34"/>
  <c r="R1892" i="34"/>
  <c r="S1892" i="34"/>
  <c r="P1893" i="34"/>
  <c r="Q1893" i="34"/>
  <c r="R1893" i="34"/>
  <c r="S1893" i="34"/>
  <c r="P1894" i="34"/>
  <c r="Q1894" i="34"/>
  <c r="R1894" i="34"/>
  <c r="S1894" i="34"/>
  <c r="P1895" i="34"/>
  <c r="Q1895" i="34"/>
  <c r="R1895" i="34"/>
  <c r="S1895" i="34"/>
  <c r="P1896" i="34"/>
  <c r="Q1896" i="34"/>
  <c r="R1896" i="34"/>
  <c r="S1896" i="34"/>
  <c r="P1897" i="34"/>
  <c r="Q1897" i="34"/>
  <c r="R1897" i="34"/>
  <c r="S1897" i="34"/>
  <c r="P1898" i="34"/>
  <c r="Q1898" i="34"/>
  <c r="R1898" i="34"/>
  <c r="S1898" i="34"/>
  <c r="P1899" i="34"/>
  <c r="Q1899" i="34"/>
  <c r="R1899" i="34"/>
  <c r="S1899" i="34"/>
  <c r="P1900" i="34"/>
  <c r="Q1900" i="34"/>
  <c r="R1900" i="34"/>
  <c r="S1900" i="34"/>
  <c r="P1901" i="34"/>
  <c r="Q1901" i="34"/>
  <c r="R1901" i="34"/>
  <c r="S1901" i="34"/>
  <c r="P1902" i="34"/>
  <c r="Q1902" i="34"/>
  <c r="R1902" i="34"/>
  <c r="S1902" i="34"/>
  <c r="P1903" i="34"/>
  <c r="Q1903" i="34"/>
  <c r="R1903" i="34"/>
  <c r="S1903" i="34"/>
  <c r="P1904" i="34"/>
  <c r="Q1904" i="34"/>
  <c r="R1904" i="34"/>
  <c r="S1904" i="34"/>
  <c r="P1905" i="34"/>
  <c r="Q1905" i="34"/>
  <c r="R1905" i="34"/>
  <c r="S1905" i="34"/>
  <c r="P1906" i="34"/>
  <c r="Q1906" i="34"/>
  <c r="R1906" i="34"/>
  <c r="S1906" i="34"/>
  <c r="P1907" i="34"/>
  <c r="Q1907" i="34"/>
  <c r="R1907" i="34"/>
  <c r="S1907" i="34"/>
  <c r="P1908" i="34"/>
  <c r="Q1908" i="34"/>
  <c r="R1908" i="34"/>
  <c r="S1908" i="34"/>
  <c r="P1909" i="34"/>
  <c r="Q1909" i="34"/>
  <c r="R1909" i="34"/>
  <c r="S1909" i="34"/>
  <c r="P1910" i="34"/>
  <c r="Q1910" i="34"/>
  <c r="R1910" i="34"/>
  <c r="S1910" i="34"/>
  <c r="P1911" i="34"/>
  <c r="Q1911" i="34"/>
  <c r="R1911" i="34"/>
  <c r="S1911" i="34"/>
  <c r="P1912" i="34"/>
  <c r="Q1912" i="34"/>
  <c r="R1912" i="34"/>
  <c r="S1912" i="34"/>
  <c r="P1913" i="34"/>
  <c r="Q1913" i="34"/>
  <c r="R1913" i="34"/>
  <c r="S1913" i="34"/>
  <c r="P1914" i="34"/>
  <c r="Q1914" i="34"/>
  <c r="R1914" i="34"/>
  <c r="S1914" i="34"/>
  <c r="P1915" i="34"/>
  <c r="Q1915" i="34"/>
  <c r="R1915" i="34"/>
  <c r="S1915" i="34"/>
  <c r="P1916" i="34"/>
  <c r="Q1916" i="34"/>
  <c r="R1916" i="34"/>
  <c r="S1916" i="34"/>
  <c r="P1917" i="34"/>
  <c r="Q1917" i="34"/>
  <c r="R1917" i="34"/>
  <c r="S1917" i="34"/>
  <c r="P1918" i="34"/>
  <c r="Q1918" i="34"/>
  <c r="R1918" i="34"/>
  <c r="S1918" i="34"/>
  <c r="P1919" i="34"/>
  <c r="Q1919" i="34"/>
  <c r="R1919" i="34"/>
  <c r="S1919" i="34"/>
  <c r="P1920" i="34"/>
  <c r="Q1920" i="34"/>
  <c r="R1920" i="34"/>
  <c r="S1920" i="34"/>
  <c r="P1921" i="34"/>
  <c r="Q1921" i="34"/>
  <c r="R1921" i="34"/>
  <c r="S1921" i="34"/>
  <c r="P1922" i="34"/>
  <c r="Q1922" i="34"/>
  <c r="R1922" i="34"/>
  <c r="S1922" i="34"/>
  <c r="P1923" i="34"/>
  <c r="Q1923" i="34"/>
  <c r="R1923" i="34"/>
  <c r="S1923" i="34"/>
  <c r="P1924" i="34"/>
  <c r="Q1924" i="34"/>
  <c r="R1924" i="34"/>
  <c r="S1924" i="34"/>
  <c r="P1925" i="34"/>
  <c r="Q1925" i="34"/>
  <c r="R1925" i="34"/>
  <c r="S1925" i="34"/>
  <c r="P1926" i="34"/>
  <c r="Q1926" i="34"/>
  <c r="R1926" i="34"/>
  <c r="S1926" i="34"/>
  <c r="P1927" i="34"/>
  <c r="Q1927" i="34"/>
  <c r="R1927" i="34"/>
  <c r="S1927" i="34"/>
  <c r="P1928" i="34"/>
  <c r="Q1928" i="34"/>
  <c r="R1928" i="34"/>
  <c r="S1928" i="34"/>
  <c r="P1929" i="34"/>
  <c r="Q1929" i="34"/>
  <c r="R1929" i="34"/>
  <c r="S1929" i="34"/>
  <c r="P1930" i="34"/>
  <c r="Q1930" i="34"/>
  <c r="R1930" i="34"/>
  <c r="S1930" i="34"/>
  <c r="P1931" i="34"/>
  <c r="Q1931" i="34"/>
  <c r="R1931" i="34"/>
  <c r="S1931" i="34"/>
  <c r="P1932" i="34"/>
  <c r="Q1932" i="34"/>
  <c r="R1932" i="34"/>
  <c r="S1932" i="34"/>
  <c r="P1933" i="34"/>
  <c r="Q1933" i="34"/>
  <c r="R1933" i="34"/>
  <c r="S1933" i="34"/>
  <c r="P1934" i="34"/>
  <c r="Q1934" i="34"/>
  <c r="R1934" i="34"/>
  <c r="S1934" i="34"/>
  <c r="P1935" i="34"/>
  <c r="Q1935" i="34"/>
  <c r="R1935" i="34"/>
  <c r="S1935" i="34"/>
  <c r="P1936" i="34"/>
  <c r="Q1936" i="34"/>
  <c r="R1936" i="34"/>
  <c r="S1936" i="34"/>
  <c r="P1937" i="34"/>
  <c r="Q1937" i="34"/>
  <c r="R1937" i="34"/>
  <c r="S1937" i="34"/>
  <c r="P1938" i="34"/>
  <c r="Q1938" i="34"/>
  <c r="R1938" i="34"/>
  <c r="S1938" i="34"/>
  <c r="P1939" i="34"/>
  <c r="Q1939" i="34"/>
  <c r="R1939" i="34"/>
  <c r="S1939" i="34"/>
  <c r="P1940" i="34"/>
  <c r="Q1940" i="34"/>
  <c r="R1940" i="34"/>
  <c r="S1940" i="34"/>
  <c r="P1941" i="34"/>
  <c r="Q1941" i="34"/>
  <c r="R1941" i="34"/>
  <c r="S1941" i="34"/>
  <c r="P1942" i="34"/>
  <c r="Q1942" i="34"/>
  <c r="R1942" i="34"/>
  <c r="S1942" i="34"/>
  <c r="P1943" i="34"/>
  <c r="Q1943" i="34"/>
  <c r="R1943" i="34"/>
  <c r="S1943" i="34"/>
  <c r="P1944" i="34"/>
  <c r="Q1944" i="34"/>
  <c r="R1944" i="34"/>
  <c r="S1944" i="34"/>
  <c r="P1945" i="34"/>
  <c r="Q1945" i="34"/>
  <c r="R1945" i="34"/>
  <c r="S1945" i="34"/>
  <c r="P1946" i="34"/>
  <c r="Q1946" i="34"/>
  <c r="R1946" i="34"/>
  <c r="S1946" i="34"/>
  <c r="P1947" i="34"/>
  <c r="Q1947" i="34"/>
  <c r="R1947" i="34"/>
  <c r="S1947" i="34"/>
  <c r="P1948" i="34"/>
  <c r="Q1948" i="34"/>
  <c r="R1948" i="34"/>
  <c r="S1948" i="34"/>
  <c r="P1949" i="34"/>
  <c r="Q1949" i="34"/>
  <c r="R1949" i="34"/>
  <c r="S1949" i="34"/>
  <c r="P1950" i="34"/>
  <c r="Q1950" i="34"/>
  <c r="R1950" i="34"/>
  <c r="S1950" i="34"/>
  <c r="P1951" i="34"/>
  <c r="Q1951" i="34"/>
  <c r="R1951" i="34"/>
  <c r="S1951" i="34"/>
  <c r="P1952" i="34"/>
  <c r="Q1952" i="34"/>
  <c r="R1952" i="34"/>
  <c r="S1952" i="34"/>
  <c r="P1953" i="34"/>
  <c r="Q1953" i="34"/>
  <c r="R1953" i="34"/>
  <c r="S1953" i="34"/>
  <c r="P1954" i="34"/>
  <c r="Q1954" i="34"/>
  <c r="R1954" i="34"/>
  <c r="S1954" i="34"/>
  <c r="P1955" i="34"/>
  <c r="Q1955" i="34"/>
  <c r="R1955" i="34"/>
  <c r="S1955" i="34"/>
  <c r="P1956" i="34"/>
  <c r="Q1956" i="34"/>
  <c r="R1956" i="34"/>
  <c r="S1956" i="34"/>
  <c r="P1957" i="34"/>
  <c r="Q1957" i="34"/>
  <c r="R1957" i="34"/>
  <c r="S1957" i="34"/>
  <c r="P1958" i="34"/>
  <c r="Q1958" i="34"/>
  <c r="R1958" i="34"/>
  <c r="S1958" i="34"/>
  <c r="P1959" i="34"/>
  <c r="Q1959" i="34"/>
  <c r="R1959" i="34"/>
  <c r="S1959" i="34"/>
  <c r="P1960" i="34"/>
  <c r="Q1960" i="34"/>
  <c r="R1960" i="34"/>
  <c r="S1960" i="34"/>
  <c r="P1961" i="34"/>
  <c r="Q1961" i="34"/>
  <c r="R1961" i="34"/>
  <c r="S1961" i="34"/>
  <c r="P1962" i="34"/>
  <c r="Q1962" i="34"/>
  <c r="R1962" i="34"/>
  <c r="S1962" i="34"/>
  <c r="P1963" i="34"/>
  <c r="Q1963" i="34"/>
  <c r="R1963" i="34"/>
  <c r="S1963" i="34"/>
  <c r="P1964" i="34"/>
  <c r="Q1964" i="34"/>
  <c r="R1964" i="34"/>
  <c r="S1964" i="34"/>
  <c r="P1965" i="34"/>
  <c r="Q1965" i="34"/>
  <c r="R1965" i="34"/>
  <c r="S1965" i="34"/>
  <c r="P1966" i="34"/>
  <c r="Q1966" i="34"/>
  <c r="R1966" i="34"/>
  <c r="S1966" i="34"/>
  <c r="P1967" i="34"/>
  <c r="Q1967" i="34"/>
  <c r="R1967" i="34"/>
  <c r="S1967" i="34"/>
  <c r="P1968" i="34"/>
  <c r="Q1968" i="34"/>
  <c r="R1968" i="34"/>
  <c r="S1968" i="34"/>
  <c r="P1969" i="34"/>
  <c r="Q1969" i="34"/>
  <c r="R1969" i="34"/>
  <c r="S1969" i="34"/>
  <c r="P1970" i="34"/>
  <c r="Q1970" i="34"/>
  <c r="R1970" i="34"/>
  <c r="S1970" i="34"/>
  <c r="P1971" i="34"/>
  <c r="Q1971" i="34"/>
  <c r="R1971" i="34"/>
  <c r="S1971" i="34"/>
  <c r="P1972" i="34"/>
  <c r="Q1972" i="34"/>
  <c r="R1972" i="34"/>
  <c r="S1972" i="34"/>
  <c r="P1973" i="34"/>
  <c r="Q1973" i="34"/>
  <c r="R1973" i="34"/>
  <c r="S1973" i="34"/>
  <c r="P1974" i="34"/>
  <c r="Q1974" i="34"/>
  <c r="R1974" i="34"/>
  <c r="S1974" i="34"/>
  <c r="P1975" i="34"/>
  <c r="Q1975" i="34"/>
  <c r="R1975" i="34"/>
  <c r="S1975" i="34"/>
  <c r="P1976" i="34"/>
  <c r="Q1976" i="34"/>
  <c r="R1976" i="34"/>
  <c r="S1976" i="34"/>
  <c r="P1977" i="34"/>
  <c r="Q1977" i="34"/>
  <c r="R1977" i="34"/>
  <c r="S1977" i="34"/>
  <c r="P1978" i="34"/>
  <c r="Q1978" i="34"/>
  <c r="R1978" i="34"/>
  <c r="S1978" i="34"/>
  <c r="P1979" i="34"/>
  <c r="Q1979" i="34"/>
  <c r="R1979" i="34"/>
  <c r="S1979" i="34"/>
  <c r="P1980" i="34"/>
  <c r="Q1980" i="34"/>
  <c r="R1980" i="34"/>
  <c r="S1980" i="34"/>
  <c r="P1981" i="34"/>
  <c r="Q1981" i="34"/>
  <c r="R1981" i="34"/>
  <c r="S1981" i="34"/>
  <c r="P1982" i="34"/>
  <c r="Q1982" i="34"/>
  <c r="R1982" i="34"/>
  <c r="S1982" i="34"/>
  <c r="P1983" i="34"/>
  <c r="Q1983" i="34"/>
  <c r="R1983" i="34"/>
  <c r="S1983" i="34"/>
  <c r="P1984" i="34"/>
  <c r="Q1984" i="34"/>
  <c r="R1984" i="34"/>
  <c r="S1984" i="34"/>
  <c r="P1985" i="34"/>
  <c r="Q1985" i="34"/>
  <c r="R1985" i="34"/>
  <c r="S1985" i="34"/>
  <c r="P1986" i="34"/>
  <c r="Q1986" i="34"/>
  <c r="R1986" i="34"/>
  <c r="S1986" i="34"/>
  <c r="P1987" i="34"/>
  <c r="Q1987" i="34"/>
  <c r="R1987" i="34"/>
  <c r="S1987" i="34"/>
  <c r="P1988" i="34"/>
  <c r="Q1988" i="34"/>
  <c r="R1988" i="34"/>
  <c r="S1988" i="34"/>
  <c r="P1989" i="34"/>
  <c r="Q1989" i="34"/>
  <c r="R1989" i="34"/>
  <c r="S1989" i="34"/>
  <c r="P1990" i="34"/>
  <c r="Q1990" i="34"/>
  <c r="R1990" i="34"/>
  <c r="S1990" i="34"/>
  <c r="P1991" i="34"/>
  <c r="Q1991" i="34"/>
  <c r="R1991" i="34"/>
  <c r="S1991" i="34"/>
  <c r="P1992" i="34"/>
  <c r="Q1992" i="34"/>
  <c r="R1992" i="34"/>
  <c r="S1992" i="34"/>
  <c r="P1993" i="34"/>
  <c r="Q1993" i="34"/>
  <c r="R1993" i="34"/>
  <c r="S1993" i="34"/>
  <c r="P1994" i="34"/>
  <c r="Q1994" i="34"/>
  <c r="R1994" i="34"/>
  <c r="S1994" i="34"/>
  <c r="P1995" i="34"/>
  <c r="Q1995" i="34"/>
  <c r="R1995" i="34"/>
  <c r="S1995" i="34"/>
  <c r="P1996" i="34"/>
  <c r="Q1996" i="34"/>
  <c r="R1996" i="34"/>
  <c r="S1996" i="34"/>
  <c r="P1997" i="34"/>
  <c r="Q1997" i="34"/>
  <c r="R1997" i="34"/>
  <c r="S1997" i="34"/>
  <c r="P1998" i="34"/>
  <c r="Q1998" i="34"/>
  <c r="R1998" i="34"/>
  <c r="S1998" i="34"/>
  <c r="P1999" i="34"/>
  <c r="Q1999" i="34"/>
  <c r="R1999" i="34"/>
  <c r="S1999" i="34"/>
  <c r="P2000" i="34"/>
  <c r="Q2000" i="34"/>
  <c r="R2000" i="34"/>
  <c r="S2000" i="34"/>
  <c r="P2001" i="34"/>
  <c r="Q2001" i="34"/>
  <c r="R2001" i="34"/>
  <c r="S2001" i="34"/>
  <c r="P2002" i="34"/>
  <c r="Q2002" i="34"/>
  <c r="R2002" i="34"/>
  <c r="S2002" i="34"/>
  <c r="P2003" i="34"/>
  <c r="Q2003" i="34"/>
  <c r="R2003" i="34"/>
  <c r="S2003" i="34"/>
  <c r="P2004" i="34"/>
  <c r="Q2004" i="34"/>
  <c r="R2004" i="34"/>
  <c r="S2004" i="34"/>
  <c r="P2005" i="34"/>
  <c r="Q2005" i="34"/>
  <c r="R2005" i="34"/>
  <c r="S2005" i="34"/>
  <c r="P2006" i="34"/>
  <c r="Q2006" i="34"/>
  <c r="R2006" i="34"/>
  <c r="S2006" i="34"/>
  <c r="P2007" i="34"/>
  <c r="Q2007" i="34"/>
  <c r="R2007" i="34"/>
  <c r="S2007" i="34"/>
  <c r="P2008" i="34"/>
  <c r="Q2008" i="34"/>
  <c r="R2008" i="34"/>
  <c r="S2008" i="34"/>
  <c r="P2009" i="34"/>
  <c r="Q2009" i="34"/>
  <c r="R2009" i="34"/>
  <c r="S2009" i="34"/>
  <c r="P2010" i="34"/>
  <c r="Q2010" i="34"/>
  <c r="R2010" i="34"/>
  <c r="S2010" i="34"/>
  <c r="P2011" i="34"/>
  <c r="Q2011" i="34"/>
  <c r="R2011" i="34"/>
  <c r="S2011" i="34"/>
  <c r="P2012" i="34"/>
  <c r="Q2012" i="34"/>
  <c r="R2012" i="34"/>
  <c r="S2012" i="34"/>
  <c r="P2013" i="34"/>
  <c r="Q2013" i="34"/>
  <c r="R2013" i="34"/>
  <c r="S2013" i="34"/>
  <c r="P2014" i="34"/>
  <c r="Q2014" i="34"/>
  <c r="R2014" i="34"/>
  <c r="S2014" i="34"/>
  <c r="P2015" i="34"/>
  <c r="Q2015" i="34"/>
  <c r="R2015" i="34"/>
  <c r="S2015" i="34"/>
  <c r="P2016" i="34"/>
  <c r="Q2016" i="34"/>
  <c r="R2016" i="34"/>
  <c r="S2016" i="34"/>
  <c r="P2017" i="34"/>
  <c r="Q2017" i="34"/>
  <c r="R2017" i="34"/>
  <c r="S2017" i="34"/>
  <c r="P2018" i="34"/>
  <c r="Q2018" i="34"/>
  <c r="R2018" i="34"/>
  <c r="S2018" i="34"/>
  <c r="P2019" i="34"/>
  <c r="Q2019" i="34"/>
  <c r="R2019" i="34"/>
  <c r="S2019" i="34"/>
  <c r="P2020" i="34"/>
  <c r="Q2020" i="34"/>
  <c r="R2020" i="34"/>
  <c r="S2020" i="34"/>
  <c r="P2021" i="34"/>
  <c r="Q2021" i="34"/>
  <c r="R2021" i="34"/>
  <c r="S2021" i="34"/>
  <c r="P2022" i="34"/>
  <c r="Q2022" i="34"/>
  <c r="R2022" i="34"/>
  <c r="S2022" i="34"/>
  <c r="P2023" i="34"/>
  <c r="Q2023" i="34"/>
  <c r="R2023" i="34"/>
  <c r="S2023" i="34"/>
  <c r="P2024" i="34"/>
  <c r="Q2024" i="34"/>
  <c r="R2024" i="34"/>
  <c r="S2024" i="34"/>
  <c r="P2025" i="34"/>
  <c r="Q2025" i="34"/>
  <c r="R2025" i="34"/>
  <c r="S2025" i="34"/>
  <c r="P2026" i="34"/>
  <c r="Q2026" i="34"/>
  <c r="R2026" i="34"/>
  <c r="S2026" i="34"/>
  <c r="P2027" i="34"/>
  <c r="Q2027" i="34"/>
  <c r="R2027" i="34"/>
  <c r="S2027" i="34"/>
  <c r="P2028" i="34"/>
  <c r="Q2028" i="34"/>
  <c r="R2028" i="34"/>
  <c r="S2028" i="34"/>
  <c r="P2029" i="34"/>
  <c r="Q2029" i="34"/>
  <c r="R2029" i="34"/>
  <c r="S2029" i="34"/>
  <c r="P2030" i="34"/>
  <c r="Q2030" i="34"/>
  <c r="R2030" i="34"/>
  <c r="S2030" i="34"/>
  <c r="P2031" i="34"/>
  <c r="Q2031" i="34"/>
  <c r="R2031" i="34"/>
  <c r="S2031" i="34"/>
  <c r="P2032" i="34"/>
  <c r="Q2032" i="34"/>
  <c r="R2032" i="34"/>
  <c r="S2032" i="34"/>
  <c r="P2033" i="34"/>
  <c r="Q2033" i="34"/>
  <c r="R2033" i="34"/>
  <c r="S2033" i="34"/>
  <c r="P2034" i="34"/>
  <c r="Q2034" i="34"/>
  <c r="R2034" i="34"/>
  <c r="S2034" i="34"/>
  <c r="P2035" i="34"/>
  <c r="Q2035" i="34"/>
  <c r="R2035" i="34"/>
  <c r="S2035" i="34"/>
  <c r="P2036" i="34"/>
  <c r="Q2036" i="34"/>
  <c r="R2036" i="34"/>
  <c r="S2036" i="34"/>
  <c r="P2037" i="34"/>
  <c r="Q2037" i="34"/>
  <c r="R2037" i="34"/>
  <c r="S2037" i="34"/>
  <c r="P2038" i="34"/>
  <c r="Q2038" i="34"/>
  <c r="R2038" i="34"/>
  <c r="S2038" i="34"/>
  <c r="P2039" i="34"/>
  <c r="Q2039" i="34"/>
  <c r="R2039" i="34"/>
  <c r="S2039" i="34"/>
  <c r="P2040" i="34"/>
  <c r="Q2040" i="34"/>
  <c r="R2040" i="34"/>
  <c r="S2040" i="34"/>
  <c r="P2041" i="34"/>
  <c r="Q2041" i="34"/>
  <c r="R2041" i="34"/>
  <c r="S2041" i="34"/>
  <c r="P2068" i="34"/>
  <c r="Q2068" i="34"/>
  <c r="R2068" i="34"/>
  <c r="S2068" i="34"/>
  <c r="P2069" i="34"/>
  <c r="Q2069" i="34"/>
  <c r="R2069" i="34"/>
  <c r="S2069" i="34"/>
  <c r="P2070" i="34"/>
  <c r="Q2070" i="34"/>
  <c r="R2070" i="34"/>
  <c r="S2070" i="34"/>
  <c r="P2071" i="34"/>
  <c r="Q2071" i="34"/>
  <c r="R2071" i="34"/>
  <c r="S2071" i="34"/>
  <c r="P2072" i="34"/>
  <c r="Q2072" i="34"/>
  <c r="R2072" i="34"/>
  <c r="S2072" i="34"/>
  <c r="P2073" i="34"/>
  <c r="Q2073" i="34"/>
  <c r="R2073" i="34"/>
  <c r="S2073" i="34"/>
  <c r="P2074" i="34"/>
  <c r="Q2074" i="34"/>
  <c r="R2074" i="34"/>
  <c r="S2074" i="34"/>
  <c r="P2075" i="34"/>
  <c r="Q2075" i="34"/>
  <c r="R2075" i="34"/>
  <c r="S2075" i="34"/>
  <c r="P2076" i="34"/>
  <c r="Q2076" i="34"/>
  <c r="R2076" i="34"/>
  <c r="S2076" i="34"/>
  <c r="P2077" i="34"/>
  <c r="Q2077" i="34"/>
  <c r="R2077" i="34"/>
  <c r="S2077" i="34"/>
  <c r="P2078" i="34"/>
  <c r="Q2078" i="34"/>
  <c r="R2078" i="34"/>
  <c r="S2078" i="34"/>
  <c r="P2079" i="34"/>
  <c r="Q2079" i="34"/>
  <c r="R2079" i="34"/>
  <c r="S2079" i="34"/>
  <c r="P2080" i="34"/>
  <c r="Q2080" i="34"/>
  <c r="R2080" i="34"/>
  <c r="S2080" i="34"/>
  <c r="P2081" i="34"/>
  <c r="P2082" i="34"/>
  <c r="Q2082" i="34"/>
  <c r="R2082" i="34"/>
  <c r="S2082" i="34"/>
  <c r="P2083" i="34"/>
  <c r="Q2083" i="34"/>
  <c r="R2083" i="34"/>
  <c r="S2083" i="34"/>
  <c r="P2084" i="34"/>
  <c r="Q2084" i="34"/>
  <c r="R2084" i="34"/>
  <c r="S2084" i="34"/>
  <c r="P2085" i="34"/>
  <c r="Q2085" i="34"/>
  <c r="R2085" i="34"/>
  <c r="S2085" i="34"/>
  <c r="P2086" i="34"/>
  <c r="Q2086" i="34"/>
  <c r="R2086" i="34"/>
  <c r="S2086" i="34"/>
  <c r="P2087" i="34"/>
  <c r="Q2087" i="34"/>
  <c r="R2087" i="34"/>
  <c r="S2087" i="34"/>
  <c r="P2088" i="34"/>
  <c r="Q2088" i="34"/>
  <c r="R2088" i="34"/>
  <c r="S2088" i="34"/>
  <c r="P2089" i="34"/>
  <c r="Q2089" i="34"/>
  <c r="R2089" i="34"/>
  <c r="S2089" i="34"/>
  <c r="P2090" i="34"/>
  <c r="Q2090" i="34"/>
  <c r="R2090" i="34"/>
  <c r="S2090" i="34"/>
  <c r="P2091" i="34"/>
  <c r="Q2091" i="34"/>
  <c r="R2091" i="34"/>
  <c r="S2091" i="34"/>
  <c r="P2092" i="34"/>
  <c r="Q2092" i="34"/>
  <c r="R2092" i="34"/>
  <c r="S2092" i="34"/>
  <c r="P2093" i="34"/>
  <c r="Q2093" i="34"/>
  <c r="R2093" i="34"/>
  <c r="S2093" i="34"/>
  <c r="P2094" i="34"/>
  <c r="Q2094" i="34"/>
  <c r="R2094" i="34"/>
  <c r="S2094" i="34"/>
  <c r="P2095" i="34"/>
  <c r="Q2095" i="34"/>
  <c r="R2095" i="34"/>
  <c r="S2095" i="34"/>
  <c r="P2096" i="34"/>
  <c r="Q2096" i="34"/>
  <c r="R2096" i="34"/>
  <c r="S2096" i="34"/>
  <c r="P2097" i="34"/>
  <c r="Q2097" i="34"/>
  <c r="R2097" i="34"/>
  <c r="S2097" i="34"/>
  <c r="P2098" i="34"/>
  <c r="Q2098" i="34"/>
  <c r="R2098" i="34"/>
  <c r="S2098" i="34"/>
  <c r="P2099" i="34"/>
  <c r="Q2099" i="34"/>
  <c r="R2099" i="34"/>
  <c r="S2099" i="34"/>
  <c r="P2100" i="34"/>
  <c r="Q2100" i="34"/>
  <c r="R2100" i="34"/>
  <c r="S2100" i="34"/>
  <c r="P2101" i="34"/>
  <c r="Q2101" i="34"/>
  <c r="R2101" i="34"/>
  <c r="S2101" i="34"/>
  <c r="P2102" i="34"/>
  <c r="Q2102" i="34"/>
  <c r="R2102" i="34"/>
  <c r="S2102" i="34"/>
  <c r="P2103" i="34"/>
  <c r="Q2103" i="34"/>
  <c r="R2103" i="34"/>
  <c r="S2103" i="34"/>
  <c r="P2104" i="34"/>
  <c r="Q2104" i="34"/>
  <c r="R2104" i="34"/>
  <c r="S2104" i="34"/>
  <c r="P2105" i="34"/>
  <c r="Q2105" i="34"/>
  <c r="R2105" i="34"/>
  <c r="S2105" i="34"/>
  <c r="P2106" i="34"/>
  <c r="Q2106" i="34"/>
  <c r="R2106" i="34"/>
  <c r="S2106" i="34"/>
  <c r="P2107" i="34"/>
  <c r="Q2107" i="34"/>
  <c r="R2107" i="34"/>
  <c r="S2107" i="34"/>
  <c r="P2108" i="34"/>
  <c r="Q2108" i="34"/>
  <c r="R2108" i="34"/>
  <c r="S2108" i="34"/>
  <c r="P2109" i="34"/>
  <c r="Q2109" i="34"/>
  <c r="R2109" i="34"/>
  <c r="S2109" i="34"/>
  <c r="P2110" i="34"/>
  <c r="Q2110" i="34"/>
  <c r="R2110" i="34"/>
  <c r="S2110" i="34"/>
  <c r="P2111" i="34"/>
  <c r="Q2111" i="34"/>
  <c r="R2111" i="34"/>
  <c r="S2111" i="34"/>
  <c r="P2112" i="34"/>
  <c r="Q2112" i="34"/>
  <c r="R2112" i="34"/>
  <c r="S2112" i="34"/>
  <c r="P2113" i="34"/>
  <c r="Q2113" i="34"/>
  <c r="R2113" i="34"/>
  <c r="S2113" i="34"/>
  <c r="P2114" i="34"/>
  <c r="Q2114" i="34"/>
  <c r="R2114" i="34"/>
  <c r="S2114" i="34"/>
  <c r="P2115" i="34"/>
  <c r="Q2115" i="34"/>
  <c r="R2115" i="34"/>
  <c r="S2115" i="34"/>
  <c r="P2116" i="34"/>
  <c r="Q2116" i="34"/>
  <c r="R2116" i="34"/>
  <c r="S2116" i="34"/>
  <c r="P2117" i="34"/>
  <c r="Q2117" i="34"/>
  <c r="R2117" i="34"/>
  <c r="S2117" i="34"/>
  <c r="P2118" i="34"/>
  <c r="Q2118" i="34"/>
  <c r="R2118" i="34"/>
  <c r="S2118" i="34"/>
  <c r="P2119" i="34"/>
  <c r="Q2119" i="34"/>
  <c r="R2119" i="34"/>
  <c r="S2119" i="34"/>
  <c r="P2120" i="34"/>
  <c r="Q2120" i="34"/>
  <c r="R2120" i="34"/>
  <c r="S2120" i="34"/>
  <c r="P2121" i="34"/>
  <c r="Q2121" i="34"/>
  <c r="R2121" i="34"/>
  <c r="S2121" i="34"/>
  <c r="P2122" i="34"/>
  <c r="Q2122" i="34"/>
  <c r="R2122" i="34"/>
  <c r="S2122" i="34"/>
  <c r="P2123" i="34"/>
  <c r="Q2123" i="34"/>
  <c r="R2123" i="34"/>
  <c r="S2123" i="34"/>
  <c r="P2124" i="34"/>
  <c r="Q2124" i="34"/>
  <c r="R2124" i="34"/>
  <c r="S2124" i="34"/>
  <c r="P2125" i="34"/>
  <c r="Q2125" i="34"/>
  <c r="R2125" i="34"/>
  <c r="S2125" i="34"/>
  <c r="P2126" i="34"/>
  <c r="Q2126" i="34"/>
  <c r="R2126" i="34"/>
  <c r="S2126" i="34"/>
  <c r="P2127" i="34"/>
  <c r="Q2127" i="34"/>
  <c r="R2127" i="34"/>
  <c r="S2127" i="34"/>
  <c r="P2128" i="34"/>
  <c r="Q2128" i="34"/>
  <c r="R2128" i="34"/>
  <c r="S2128" i="34"/>
  <c r="P2129" i="34"/>
  <c r="Q2129" i="34"/>
  <c r="R2129" i="34"/>
  <c r="S2129" i="34"/>
  <c r="P2130" i="34"/>
  <c r="Q2130" i="34"/>
  <c r="R2130" i="34"/>
  <c r="S2130" i="34"/>
  <c r="P2131" i="34"/>
  <c r="Q2131" i="34"/>
  <c r="R2131" i="34"/>
  <c r="S2131" i="34"/>
  <c r="P2132" i="34"/>
  <c r="Q2132" i="34"/>
  <c r="R2132" i="34"/>
  <c r="S2132" i="34"/>
  <c r="P2133" i="34"/>
  <c r="Q2133" i="34"/>
  <c r="R2133" i="34"/>
  <c r="S2133" i="34"/>
  <c r="P2134" i="34"/>
  <c r="Q2134" i="34"/>
  <c r="R2134" i="34"/>
  <c r="S2134" i="34"/>
  <c r="P2135" i="34"/>
  <c r="Q2135" i="34"/>
  <c r="R2135" i="34"/>
  <c r="S2135" i="34"/>
  <c r="P2136" i="34"/>
  <c r="Q2136" i="34"/>
  <c r="R2136" i="34"/>
  <c r="S2136" i="34"/>
  <c r="P2137" i="34"/>
  <c r="Q2137" i="34"/>
  <c r="R2137" i="34"/>
  <c r="S2137" i="34"/>
  <c r="P2138" i="34"/>
  <c r="Q2138" i="34"/>
  <c r="R2138" i="34"/>
  <c r="S2138" i="34"/>
  <c r="P2139" i="34"/>
  <c r="Q2139" i="34"/>
  <c r="R2139" i="34"/>
  <c r="S2139" i="34"/>
  <c r="P2140" i="34"/>
  <c r="Q2140" i="34"/>
  <c r="R2140" i="34"/>
  <c r="S2140" i="34"/>
  <c r="P2141" i="34"/>
  <c r="Q2141" i="34"/>
  <c r="R2141" i="34"/>
  <c r="S2141" i="34"/>
  <c r="P2142" i="34"/>
  <c r="Q2142" i="34"/>
  <c r="R2142" i="34"/>
  <c r="S2142" i="34"/>
  <c r="P2143" i="34"/>
  <c r="Q2143" i="34"/>
  <c r="R2143" i="34"/>
  <c r="S2143" i="34"/>
  <c r="P2144" i="34"/>
  <c r="Q2144" i="34"/>
  <c r="R2144" i="34"/>
  <c r="S2144" i="34"/>
  <c r="P2145" i="34"/>
  <c r="Q2145" i="34"/>
  <c r="R2145" i="34"/>
  <c r="S2145" i="34"/>
  <c r="P2146" i="34"/>
  <c r="Q2146" i="34"/>
  <c r="R2146" i="34"/>
  <c r="S2146" i="34"/>
  <c r="P2147" i="34"/>
  <c r="Q2147" i="34"/>
  <c r="R2147" i="34"/>
  <c r="S2147" i="34"/>
  <c r="P2148" i="34"/>
  <c r="Q2148" i="34"/>
  <c r="R2148" i="34"/>
  <c r="S2148" i="34"/>
  <c r="P2149" i="34"/>
  <c r="Q2149" i="34"/>
  <c r="R2149" i="34"/>
  <c r="S2149" i="34"/>
  <c r="P2150" i="34"/>
  <c r="Q2150" i="34"/>
  <c r="R2150" i="34"/>
  <c r="S2150" i="34"/>
  <c r="P2151" i="34"/>
  <c r="Q2151" i="34"/>
  <c r="R2151" i="34"/>
  <c r="S2151" i="34"/>
  <c r="P2152" i="34"/>
  <c r="Q2152" i="34"/>
  <c r="R2152" i="34"/>
  <c r="S2152" i="34"/>
  <c r="P2153" i="34"/>
  <c r="Q2153" i="34"/>
  <c r="R2153" i="34"/>
  <c r="S2153" i="34"/>
  <c r="P2154" i="34"/>
  <c r="Q2154" i="34"/>
  <c r="R2154" i="34"/>
  <c r="S2154" i="34"/>
  <c r="P2155" i="34"/>
  <c r="Q2155" i="34"/>
  <c r="R2155" i="34"/>
  <c r="S2155" i="34"/>
  <c r="P2156" i="34"/>
  <c r="Q2156" i="34"/>
  <c r="R2156" i="34"/>
  <c r="S2156" i="34"/>
  <c r="P2157" i="34"/>
  <c r="Q2157" i="34"/>
  <c r="R2157" i="34"/>
  <c r="S2157" i="34"/>
  <c r="P2158" i="34"/>
  <c r="Q2158" i="34"/>
  <c r="R2158" i="34"/>
  <c r="S2158" i="34"/>
  <c r="P2159" i="34"/>
  <c r="Q2159" i="34"/>
  <c r="R2159" i="34"/>
  <c r="S2159" i="34"/>
  <c r="P2160" i="34"/>
  <c r="Q2160" i="34"/>
  <c r="R2160" i="34"/>
  <c r="S2160" i="34"/>
  <c r="P2161" i="34"/>
  <c r="Q2161" i="34"/>
  <c r="R2161" i="34"/>
  <c r="S2161" i="34"/>
  <c r="P2162" i="34"/>
  <c r="Q2162" i="34"/>
  <c r="R2162" i="34"/>
  <c r="S2162" i="34"/>
  <c r="P2163" i="34"/>
  <c r="Q2163" i="34"/>
  <c r="R2163" i="34"/>
  <c r="S2163" i="34"/>
  <c r="P2164" i="34"/>
  <c r="Q2164" i="34"/>
  <c r="R2164" i="34"/>
  <c r="S2164" i="34"/>
  <c r="P2165" i="34"/>
  <c r="Q2165" i="34"/>
  <c r="R2165" i="34"/>
  <c r="S2165" i="34"/>
  <c r="P2166" i="34"/>
  <c r="Q2166" i="34"/>
  <c r="R2166" i="34"/>
  <c r="S2166" i="34"/>
  <c r="P2167" i="34"/>
  <c r="Q2167" i="34"/>
  <c r="R2167" i="34"/>
  <c r="S2167" i="34"/>
  <c r="P2168" i="34"/>
  <c r="Q2168" i="34"/>
  <c r="R2168" i="34"/>
  <c r="S2168" i="34"/>
  <c r="P2169" i="34"/>
  <c r="Q2169" i="34"/>
  <c r="R2169" i="34"/>
  <c r="S2169" i="34"/>
  <c r="P2170" i="34"/>
  <c r="Q2170" i="34"/>
  <c r="R2170" i="34"/>
  <c r="S2170" i="34"/>
  <c r="P2171" i="34"/>
  <c r="Q2171" i="34"/>
  <c r="R2171" i="34"/>
  <c r="S2171" i="34"/>
  <c r="P2172" i="34"/>
  <c r="Q2172" i="34"/>
  <c r="R2172" i="34"/>
  <c r="S2172" i="34"/>
  <c r="P2173" i="34"/>
  <c r="Q2173" i="34"/>
  <c r="R2173" i="34"/>
  <c r="S2173" i="34"/>
  <c r="P2174" i="34"/>
  <c r="Q2174" i="34"/>
  <c r="R2174" i="34"/>
  <c r="S2174" i="34"/>
  <c r="P2175" i="34"/>
  <c r="Q2175" i="34"/>
  <c r="R2175" i="34"/>
  <c r="S2175" i="34"/>
  <c r="P2176" i="34"/>
  <c r="Q2176" i="34"/>
  <c r="R2176" i="34"/>
  <c r="S2176" i="34"/>
  <c r="P2177" i="34"/>
  <c r="Q2177" i="34"/>
  <c r="R2177" i="34"/>
  <c r="S2177" i="34"/>
  <c r="P2178" i="34"/>
  <c r="Q2178" i="34"/>
  <c r="R2178" i="34"/>
  <c r="S2178" i="34"/>
  <c r="P2179" i="34"/>
  <c r="Q2179" i="34"/>
  <c r="R2179" i="34"/>
  <c r="S2179" i="34"/>
  <c r="P2180" i="34"/>
  <c r="Q2180" i="34"/>
  <c r="R2180" i="34"/>
  <c r="S2180" i="34"/>
  <c r="P2181" i="34"/>
  <c r="Q2181" i="34"/>
  <c r="R2181" i="34"/>
  <c r="S2181" i="34"/>
  <c r="P2182" i="34"/>
  <c r="Q2182" i="34"/>
  <c r="R2182" i="34"/>
  <c r="S2182" i="34"/>
  <c r="P2183" i="34"/>
  <c r="Q2183" i="34"/>
  <c r="R2183" i="34"/>
  <c r="S2183" i="34"/>
  <c r="P2184" i="34"/>
  <c r="Q2184" i="34"/>
  <c r="R2184" i="34"/>
  <c r="S2184" i="34"/>
  <c r="P2185" i="34"/>
  <c r="Q2185" i="34"/>
  <c r="R2185" i="34"/>
  <c r="S2185" i="34"/>
  <c r="P2186" i="34"/>
  <c r="Q2186" i="34"/>
  <c r="R2186" i="34"/>
  <c r="S2186" i="34"/>
  <c r="P2187" i="34"/>
  <c r="Q2187" i="34"/>
  <c r="R2187" i="34"/>
  <c r="S2187" i="34"/>
  <c r="P2188" i="34"/>
  <c r="Q2188" i="34"/>
  <c r="R2188" i="34"/>
  <c r="S2188" i="34"/>
  <c r="P2189" i="34"/>
  <c r="Q2189" i="34"/>
  <c r="R2189" i="34"/>
  <c r="S2189" i="34"/>
  <c r="P2190" i="34"/>
  <c r="Q2190" i="34"/>
  <c r="R2190" i="34"/>
  <c r="S2190" i="34"/>
  <c r="P2191" i="34"/>
  <c r="Q2191" i="34"/>
  <c r="R2191" i="34"/>
  <c r="S2191" i="34"/>
  <c r="P2192" i="34"/>
  <c r="Q2192" i="34"/>
  <c r="R2192" i="34"/>
  <c r="S2192" i="34"/>
  <c r="P2193" i="34"/>
  <c r="Q2193" i="34"/>
  <c r="R2193" i="34"/>
  <c r="S2193" i="34"/>
  <c r="P2194" i="34"/>
  <c r="Q2194" i="34"/>
  <c r="R2194" i="34"/>
  <c r="S2194" i="34"/>
  <c r="P2195" i="34"/>
  <c r="Q2195" i="34"/>
  <c r="R2195" i="34"/>
  <c r="S2195" i="34"/>
  <c r="P2196" i="34"/>
  <c r="Q2196" i="34"/>
  <c r="R2196" i="34"/>
  <c r="S2196" i="34"/>
  <c r="P2197" i="34"/>
  <c r="Q2197" i="34"/>
  <c r="R2197" i="34"/>
  <c r="S2197" i="34"/>
  <c r="P2198" i="34"/>
  <c r="Q2198" i="34"/>
  <c r="R2198" i="34"/>
  <c r="S2198" i="34"/>
  <c r="P2199" i="34"/>
  <c r="Q2199" i="34"/>
  <c r="R2199" i="34"/>
  <c r="S2199" i="34"/>
  <c r="P2200" i="34"/>
  <c r="Q2200" i="34"/>
  <c r="R2200" i="34"/>
  <c r="S2200" i="34"/>
  <c r="P2201" i="34"/>
  <c r="Q2201" i="34"/>
  <c r="R2201" i="34"/>
  <c r="S2201" i="34"/>
  <c r="P2202" i="34"/>
  <c r="Q2202" i="34"/>
  <c r="R2202" i="34"/>
  <c r="S2202" i="34"/>
  <c r="P2203" i="34"/>
  <c r="Q2203" i="34"/>
  <c r="R2203" i="34"/>
  <c r="S2203" i="34"/>
  <c r="P2204" i="34"/>
  <c r="Q2204" i="34"/>
  <c r="R2204" i="34"/>
  <c r="S2204" i="34"/>
  <c r="P2205" i="34"/>
  <c r="Q2205" i="34"/>
  <c r="R2205" i="34"/>
  <c r="S2205" i="34"/>
  <c r="P2206" i="34"/>
  <c r="Q2206" i="34"/>
  <c r="R2206" i="34"/>
  <c r="S2206" i="34"/>
  <c r="P2207" i="34"/>
  <c r="Q2207" i="34"/>
  <c r="R2207" i="34"/>
  <c r="S2207" i="34"/>
  <c r="P2208" i="34"/>
  <c r="Q2208" i="34"/>
  <c r="R2208" i="34"/>
  <c r="S2208" i="34"/>
  <c r="P2209" i="34"/>
  <c r="Q2209" i="34"/>
  <c r="R2209" i="34"/>
  <c r="S2209" i="34"/>
  <c r="P2210" i="34"/>
  <c r="Q2210" i="34"/>
  <c r="R2210" i="34"/>
  <c r="S2210" i="34"/>
  <c r="P2211" i="34"/>
  <c r="Q2211" i="34"/>
  <c r="R2211" i="34"/>
  <c r="S2211" i="34"/>
  <c r="P2212" i="34"/>
  <c r="Q2212" i="34"/>
  <c r="R2212" i="34"/>
  <c r="S2212" i="34"/>
  <c r="P2213" i="34"/>
  <c r="Q2213" i="34"/>
  <c r="R2213" i="34"/>
  <c r="S2213" i="34"/>
  <c r="P2214" i="34"/>
  <c r="Q2214" i="34"/>
  <c r="R2214" i="34"/>
  <c r="S2214" i="34"/>
  <c r="P2215" i="34"/>
  <c r="Q2215" i="34"/>
  <c r="R2215" i="34"/>
  <c r="S2215" i="34"/>
  <c r="P2216" i="34"/>
  <c r="Q2216" i="34"/>
  <c r="R2216" i="34"/>
  <c r="S2216" i="34"/>
  <c r="P2217" i="34"/>
  <c r="Q2217" i="34"/>
  <c r="R2217" i="34"/>
  <c r="S2217" i="34"/>
  <c r="P2218" i="34"/>
  <c r="Q2218" i="34"/>
  <c r="R2218" i="34"/>
  <c r="S2218" i="34"/>
  <c r="P2219" i="34"/>
  <c r="Q2219" i="34"/>
  <c r="R2219" i="34"/>
  <c r="S2219" i="34"/>
  <c r="P2220" i="34"/>
  <c r="Q2220" i="34"/>
  <c r="R2220" i="34"/>
  <c r="S2220" i="34"/>
  <c r="P2221" i="34"/>
  <c r="Q2221" i="34"/>
  <c r="R2221" i="34"/>
  <c r="S2221" i="34"/>
  <c r="P2222" i="34"/>
  <c r="Q2222" i="34"/>
  <c r="R2222" i="34"/>
  <c r="S2222" i="34"/>
  <c r="P2223" i="34"/>
  <c r="Q2223" i="34"/>
  <c r="R2223" i="34"/>
  <c r="S2223" i="34"/>
  <c r="P2224" i="34"/>
  <c r="Q2224" i="34"/>
  <c r="R2224" i="34"/>
  <c r="S2224" i="34"/>
  <c r="P2225" i="34"/>
  <c r="Q2225" i="34"/>
  <c r="R2225" i="34"/>
  <c r="S2225" i="34"/>
  <c r="P2226" i="34"/>
  <c r="Q2226" i="34"/>
  <c r="R2226" i="34"/>
  <c r="S2226" i="34"/>
  <c r="P2227" i="34"/>
  <c r="Q2227" i="34"/>
  <c r="R2227" i="34"/>
  <c r="S2227" i="34"/>
  <c r="P2228" i="34"/>
  <c r="Q2228" i="34"/>
  <c r="R2228" i="34"/>
  <c r="S2228" i="34"/>
  <c r="P2229" i="34"/>
  <c r="Q2229" i="34"/>
  <c r="R2229" i="34"/>
  <c r="S2229" i="34"/>
  <c r="P2230" i="34"/>
  <c r="Q2230" i="34"/>
  <c r="R2230" i="34"/>
  <c r="S2230" i="34"/>
  <c r="P2231" i="34"/>
  <c r="Q2231" i="34"/>
  <c r="R2231" i="34"/>
  <c r="S2231" i="34"/>
  <c r="P2232" i="34"/>
  <c r="Q2232" i="34"/>
  <c r="R2232" i="34"/>
  <c r="S2232" i="34"/>
  <c r="P2233" i="34"/>
  <c r="Q2233" i="34"/>
  <c r="R2233" i="34"/>
  <c r="S2233" i="34"/>
  <c r="P2234" i="34"/>
  <c r="Q2234" i="34"/>
  <c r="R2234" i="34"/>
  <c r="S2234" i="34"/>
  <c r="P2235" i="34"/>
  <c r="Q2235" i="34"/>
  <c r="R2235" i="34"/>
  <c r="S2235" i="34"/>
  <c r="P2236" i="34"/>
  <c r="Q2236" i="34"/>
  <c r="R2236" i="34"/>
  <c r="S2236" i="34"/>
  <c r="P2237" i="34"/>
  <c r="Q2237" i="34"/>
  <c r="R2237" i="34"/>
  <c r="S2237" i="34"/>
  <c r="P2238" i="34"/>
  <c r="Q2238" i="34"/>
  <c r="R2238" i="34"/>
  <c r="S2238" i="34"/>
  <c r="P2239" i="34"/>
  <c r="Q2239" i="34"/>
  <c r="R2239" i="34"/>
  <c r="S2239" i="34"/>
  <c r="P2240" i="34"/>
  <c r="Q2240" i="34"/>
  <c r="R2240" i="34"/>
  <c r="S2240" i="34"/>
  <c r="P2241" i="34"/>
  <c r="Q2241" i="34"/>
  <c r="R2241" i="34"/>
  <c r="S2241" i="34"/>
  <c r="P2242" i="34"/>
  <c r="Q2242" i="34"/>
  <c r="R2242" i="34"/>
  <c r="S2242" i="34"/>
  <c r="P2243" i="34"/>
  <c r="Q2243" i="34"/>
  <c r="R2243" i="34"/>
  <c r="S2243" i="34"/>
  <c r="P2244" i="34"/>
  <c r="Q2244" i="34"/>
  <c r="R2244" i="34"/>
  <c r="S2244" i="34"/>
  <c r="P2245" i="34"/>
  <c r="Q2245" i="34"/>
  <c r="R2245" i="34"/>
  <c r="S2245" i="34"/>
  <c r="P2246" i="34"/>
  <c r="Q2246" i="34"/>
  <c r="R2246" i="34"/>
  <c r="S2246" i="34"/>
  <c r="P2247" i="34"/>
  <c r="Q2247" i="34"/>
  <c r="R2247" i="34"/>
  <c r="S2247" i="34"/>
  <c r="P2248" i="34"/>
  <c r="Q2248" i="34"/>
  <c r="R2248" i="34"/>
  <c r="S2248" i="34"/>
  <c r="P2249" i="34"/>
  <c r="Q2249" i="34"/>
  <c r="R2249" i="34"/>
  <c r="S2249" i="34"/>
  <c r="P2250" i="34"/>
  <c r="Q2250" i="34"/>
  <c r="R2250" i="34"/>
  <c r="S2250" i="34"/>
  <c r="P2251" i="34"/>
  <c r="Q2251" i="34"/>
  <c r="R2251" i="34"/>
  <c r="S2251" i="34"/>
  <c r="P2252" i="34"/>
  <c r="Q2252" i="34"/>
  <c r="R2252" i="34"/>
  <c r="S2252" i="34"/>
  <c r="P2253" i="34"/>
  <c r="Q2253" i="34"/>
  <c r="R2253" i="34"/>
  <c r="S2253" i="34"/>
  <c r="P2254" i="34"/>
  <c r="Q2254" i="34"/>
  <c r="R2254" i="34"/>
  <c r="S2254" i="34"/>
  <c r="P2255" i="34"/>
  <c r="Q2255" i="34"/>
  <c r="R2255" i="34"/>
  <c r="S2255" i="34"/>
  <c r="P2256" i="34"/>
  <c r="Q2256" i="34"/>
  <c r="R2256" i="34"/>
  <c r="S2256" i="34"/>
  <c r="P2257" i="34"/>
  <c r="Q2257" i="34"/>
  <c r="R2257" i="34"/>
  <c r="S2257" i="34"/>
  <c r="P2258" i="34"/>
  <c r="Q2258" i="34"/>
  <c r="R2258" i="34"/>
  <c r="S2258" i="34"/>
  <c r="P2259" i="34"/>
  <c r="Q2259" i="34"/>
  <c r="R2259" i="34"/>
  <c r="S2259" i="34"/>
  <c r="P2260" i="34"/>
  <c r="Q2260" i="34"/>
  <c r="R2260" i="34"/>
  <c r="S2260" i="34"/>
  <c r="P2261" i="34"/>
  <c r="Q2261" i="34"/>
  <c r="R2261" i="34"/>
  <c r="S2261" i="34"/>
  <c r="P2262" i="34"/>
  <c r="Q2262" i="34"/>
  <c r="R2262" i="34"/>
  <c r="S2262" i="34"/>
  <c r="P2263" i="34"/>
  <c r="Q2263" i="34"/>
  <c r="R2263" i="34"/>
  <c r="S2263" i="34"/>
  <c r="P2264" i="34"/>
  <c r="Q2264" i="34"/>
  <c r="R2264" i="34"/>
  <c r="S2264" i="34"/>
  <c r="P2265" i="34"/>
  <c r="Q2265" i="34"/>
  <c r="R2265" i="34"/>
  <c r="S2265" i="34"/>
  <c r="P2266" i="34"/>
  <c r="Q2266" i="34"/>
  <c r="R2266" i="34"/>
  <c r="S2266" i="34"/>
  <c r="P2267" i="34"/>
  <c r="Q2267" i="34"/>
  <c r="R2267" i="34"/>
  <c r="S2267" i="34"/>
  <c r="P2268" i="34"/>
  <c r="Q2268" i="34"/>
  <c r="R2268" i="34"/>
  <c r="S2268" i="34"/>
  <c r="P2269" i="34"/>
  <c r="Q2269" i="34"/>
  <c r="R2269" i="34"/>
  <c r="S2269" i="34"/>
  <c r="P2270" i="34"/>
  <c r="Q2270" i="34"/>
  <c r="R2270" i="34"/>
  <c r="S2270" i="34"/>
  <c r="P2271" i="34"/>
  <c r="Q2271" i="34"/>
  <c r="R2271" i="34"/>
  <c r="S2271" i="34"/>
  <c r="P2272" i="34"/>
  <c r="Q2272" i="34"/>
  <c r="R2272" i="34"/>
  <c r="S2272" i="34"/>
  <c r="P2273" i="34"/>
  <c r="Q2273" i="34"/>
  <c r="R2273" i="34"/>
  <c r="S2273" i="34"/>
  <c r="P2274" i="34"/>
  <c r="Q2274" i="34"/>
  <c r="R2274" i="34"/>
  <c r="S2274" i="34"/>
  <c r="P2275" i="34"/>
  <c r="Q2275" i="34"/>
  <c r="R2275" i="34"/>
  <c r="S2275" i="34"/>
  <c r="P2276" i="34"/>
  <c r="Q2276" i="34"/>
  <c r="R2276" i="34"/>
  <c r="S2276" i="34"/>
  <c r="P2277" i="34"/>
  <c r="Q2277" i="34"/>
  <c r="R2277" i="34"/>
  <c r="S2277" i="34"/>
  <c r="P2278" i="34"/>
  <c r="Q2278" i="34"/>
  <c r="R2278" i="34"/>
  <c r="S2278" i="34"/>
  <c r="P2279" i="34"/>
  <c r="Q2279" i="34"/>
  <c r="R2279" i="34"/>
  <c r="S2279" i="34"/>
  <c r="P2280" i="34"/>
  <c r="Q2280" i="34"/>
  <c r="R2280" i="34"/>
  <c r="S2280" i="34"/>
  <c r="P2281" i="34"/>
  <c r="Q2281" i="34"/>
  <c r="R2281" i="34"/>
  <c r="S2281" i="34"/>
  <c r="P2282" i="34"/>
  <c r="Q2282" i="34"/>
  <c r="R2282" i="34"/>
  <c r="S2282" i="34"/>
  <c r="P2283" i="34"/>
  <c r="Q2283" i="34"/>
  <c r="R2283" i="34"/>
  <c r="S2283" i="34"/>
  <c r="P2284" i="34"/>
  <c r="Q2284" i="34"/>
  <c r="R2284" i="34"/>
  <c r="S2284" i="34"/>
  <c r="P2285" i="34"/>
  <c r="Q2285" i="34"/>
  <c r="R2285" i="34"/>
  <c r="S2285" i="34"/>
  <c r="P2286" i="34"/>
  <c r="Q2286" i="34"/>
  <c r="R2286" i="34"/>
  <c r="S2286" i="34"/>
  <c r="P2287" i="34"/>
  <c r="Q2287" i="34"/>
  <c r="R2287" i="34"/>
  <c r="S2287" i="34"/>
  <c r="P2288" i="34"/>
  <c r="Q2288" i="34"/>
  <c r="R2288" i="34"/>
  <c r="S2288" i="34"/>
  <c r="P2289" i="34"/>
  <c r="Q2289" i="34"/>
  <c r="R2289" i="34"/>
  <c r="S2289" i="34"/>
  <c r="P2290" i="34"/>
  <c r="Q2290" i="34"/>
  <c r="R2290" i="34"/>
  <c r="S2290" i="34"/>
  <c r="P2291" i="34"/>
  <c r="Q2291" i="34"/>
  <c r="R2291" i="34"/>
  <c r="S2291" i="34"/>
  <c r="P2292" i="34"/>
  <c r="Q2292" i="34"/>
  <c r="R2292" i="34"/>
  <c r="S2292" i="34"/>
  <c r="P2293" i="34"/>
  <c r="Q2293" i="34"/>
  <c r="R2293" i="34"/>
  <c r="S2293" i="34"/>
  <c r="P2294" i="34"/>
  <c r="Q2294" i="34"/>
  <c r="R2294" i="34"/>
  <c r="S2294" i="34"/>
  <c r="P2295" i="34"/>
  <c r="Q2295" i="34"/>
  <c r="R2295" i="34"/>
  <c r="S2295" i="34"/>
  <c r="P2296" i="34"/>
  <c r="Q2296" i="34"/>
  <c r="R2296" i="34"/>
  <c r="S2296" i="34"/>
  <c r="P2297" i="34"/>
  <c r="Q2297" i="34"/>
  <c r="R2297" i="34"/>
  <c r="S2297" i="34"/>
  <c r="P2298" i="34"/>
  <c r="Q2298" i="34"/>
  <c r="R2298" i="34"/>
  <c r="S2298" i="34"/>
  <c r="P2299" i="34"/>
  <c r="Q2299" i="34"/>
  <c r="R2299" i="34"/>
  <c r="S2299" i="34"/>
  <c r="P2300" i="34"/>
  <c r="Q2300" i="34"/>
  <c r="R2300" i="34"/>
  <c r="S2300" i="34"/>
  <c r="P2301" i="34"/>
  <c r="Q2301" i="34"/>
  <c r="R2301" i="34"/>
  <c r="S2301" i="34"/>
  <c r="P2302" i="34"/>
  <c r="Q2302" i="34"/>
  <c r="R2302" i="34"/>
  <c r="S2302" i="34"/>
  <c r="P2303" i="34"/>
  <c r="Q2303" i="34"/>
  <c r="R2303" i="34"/>
  <c r="S2303" i="34"/>
  <c r="P2304" i="34"/>
  <c r="Q2304" i="34"/>
  <c r="R2304" i="34"/>
  <c r="S2304" i="34"/>
  <c r="P2305" i="34"/>
  <c r="Q2305" i="34"/>
  <c r="R2305" i="34"/>
  <c r="S2305" i="34"/>
  <c r="P2306" i="34"/>
  <c r="Q2306" i="34"/>
  <c r="R2306" i="34"/>
  <c r="S2306" i="34"/>
  <c r="P2307" i="34"/>
  <c r="Q2307" i="34"/>
  <c r="R2307" i="34"/>
  <c r="S2307" i="34"/>
  <c r="P2308" i="34"/>
  <c r="Q2308" i="34"/>
  <c r="R2308" i="34"/>
  <c r="S2308" i="34"/>
  <c r="P2309" i="34"/>
  <c r="Q2309" i="34"/>
  <c r="R2309" i="34"/>
  <c r="S2309" i="34"/>
  <c r="P2310" i="34"/>
  <c r="Q2310" i="34"/>
  <c r="R2310" i="34"/>
  <c r="S2310" i="34"/>
  <c r="P2311" i="34"/>
  <c r="Q2311" i="34"/>
  <c r="R2311" i="34"/>
  <c r="S2311" i="34"/>
  <c r="P2312" i="34"/>
  <c r="Q2312" i="34"/>
  <c r="R2312" i="34"/>
  <c r="S2312" i="34"/>
  <c r="P2313" i="34"/>
  <c r="Q2313" i="34"/>
  <c r="R2313" i="34"/>
  <c r="S2313" i="34"/>
  <c r="P2314" i="34"/>
  <c r="Q2314" i="34"/>
  <c r="R2314" i="34"/>
  <c r="S2314" i="34"/>
  <c r="P2315" i="34"/>
  <c r="Q2315" i="34"/>
  <c r="R2315" i="34"/>
  <c r="S2315" i="34"/>
  <c r="P2316" i="34"/>
  <c r="Q2316" i="34"/>
  <c r="R2316" i="34"/>
  <c r="S2316" i="34"/>
  <c r="P2317" i="34"/>
  <c r="Q2317" i="34"/>
  <c r="R2317" i="34"/>
  <c r="S2317" i="34"/>
  <c r="P2318" i="34"/>
  <c r="Q2318" i="34"/>
  <c r="R2318" i="34"/>
  <c r="S2318" i="34"/>
  <c r="P2319" i="34"/>
  <c r="Q2319" i="34"/>
  <c r="R2319" i="34"/>
  <c r="S2319" i="34"/>
  <c r="P2320" i="34"/>
  <c r="Q2320" i="34"/>
  <c r="R2320" i="34"/>
  <c r="S2320" i="34"/>
  <c r="P2321" i="34"/>
  <c r="Q2321" i="34"/>
  <c r="R2321" i="34"/>
  <c r="S2321" i="34"/>
  <c r="P2322" i="34"/>
  <c r="Q2322" i="34"/>
  <c r="R2322" i="34"/>
  <c r="S2322" i="34"/>
  <c r="P2323" i="34"/>
  <c r="Q2323" i="34"/>
  <c r="R2323" i="34"/>
  <c r="S2323" i="34"/>
  <c r="P2324" i="34"/>
  <c r="Q2324" i="34"/>
  <c r="R2324" i="34"/>
  <c r="S2324" i="34"/>
  <c r="P2325" i="34"/>
  <c r="Q2325" i="34"/>
  <c r="R2325" i="34"/>
  <c r="S2325" i="34"/>
  <c r="P2326" i="34"/>
  <c r="Q2326" i="34"/>
  <c r="R2326" i="34"/>
  <c r="S2326" i="34"/>
  <c r="P2327" i="34"/>
  <c r="Q2327" i="34"/>
  <c r="R2327" i="34"/>
  <c r="S2327" i="34"/>
  <c r="P2328" i="34"/>
  <c r="Q2328" i="34"/>
  <c r="R2328" i="34"/>
  <c r="S2328" i="34"/>
  <c r="P2329" i="34"/>
  <c r="Q2329" i="34"/>
  <c r="R2329" i="34"/>
  <c r="S2329" i="34"/>
  <c r="P2330" i="34"/>
  <c r="Q2330" i="34"/>
  <c r="R2330" i="34"/>
  <c r="S2330" i="34"/>
  <c r="P2331" i="34"/>
  <c r="Q2331" i="34"/>
  <c r="R2331" i="34"/>
  <c r="S2331" i="34"/>
  <c r="P2332" i="34"/>
  <c r="Q2332" i="34"/>
  <c r="R2332" i="34"/>
  <c r="S2332" i="34"/>
  <c r="P2333" i="34"/>
  <c r="Q2333" i="34"/>
  <c r="R2333" i="34"/>
  <c r="S2333" i="34"/>
  <c r="P2334" i="34"/>
  <c r="Q2334" i="34"/>
  <c r="R2334" i="34"/>
  <c r="S2334" i="34"/>
  <c r="P2335" i="34"/>
  <c r="Q2335" i="34"/>
  <c r="R2335" i="34"/>
  <c r="S2335" i="34"/>
  <c r="P2336" i="34"/>
  <c r="Q2336" i="34"/>
  <c r="R2336" i="34"/>
  <c r="S2336" i="34"/>
  <c r="P2337" i="34"/>
  <c r="Q2337" i="34"/>
  <c r="R2337" i="34"/>
  <c r="S2337" i="34"/>
  <c r="P2338" i="34"/>
  <c r="Q2338" i="34"/>
  <c r="R2338" i="34"/>
  <c r="S2338" i="34"/>
  <c r="P2339" i="34"/>
  <c r="Q2339" i="34"/>
  <c r="R2339" i="34"/>
  <c r="S2339" i="34"/>
  <c r="P2340" i="34"/>
  <c r="Q2340" i="34"/>
  <c r="R2340" i="34"/>
  <c r="S2340" i="34"/>
  <c r="P2341" i="34"/>
  <c r="Q2341" i="34"/>
  <c r="R2341" i="34"/>
  <c r="S2341" i="34"/>
  <c r="P2342" i="34"/>
  <c r="Q2342" i="34"/>
  <c r="R2342" i="34"/>
  <c r="S2342" i="34"/>
  <c r="P2343" i="34"/>
  <c r="Q2343" i="34"/>
  <c r="R2343" i="34"/>
  <c r="S2343" i="34"/>
  <c r="P2344" i="34"/>
  <c r="Q2344" i="34"/>
  <c r="R2344" i="34"/>
  <c r="S2344" i="34"/>
  <c r="P2345" i="34"/>
  <c r="Q2345" i="34"/>
  <c r="R2345" i="34"/>
  <c r="S2345" i="34"/>
  <c r="P2346" i="34"/>
  <c r="Q2346" i="34"/>
  <c r="R2346" i="34"/>
  <c r="S2346" i="34"/>
  <c r="P2347" i="34"/>
  <c r="Q2347" i="34"/>
  <c r="R2347" i="34"/>
  <c r="S2347" i="34"/>
  <c r="P2348" i="34"/>
  <c r="Q2348" i="34"/>
  <c r="R2348" i="34"/>
  <c r="S2348" i="34"/>
  <c r="P2349" i="34"/>
  <c r="Q2349" i="34"/>
  <c r="R2349" i="34"/>
  <c r="S2349" i="34"/>
  <c r="P2350" i="34"/>
  <c r="Q2350" i="34"/>
  <c r="R2350" i="34"/>
  <c r="S2350" i="34"/>
  <c r="P2351" i="34"/>
  <c r="Q2351" i="34"/>
  <c r="R2351" i="34"/>
  <c r="S2351" i="34"/>
  <c r="P2352" i="34"/>
  <c r="Q2352" i="34"/>
  <c r="R2352" i="34"/>
  <c r="S2352" i="34"/>
  <c r="P2353" i="34"/>
  <c r="Q2353" i="34"/>
  <c r="R2353" i="34"/>
  <c r="S2353" i="34"/>
  <c r="P2354" i="34"/>
  <c r="Q2354" i="34"/>
  <c r="R2354" i="34"/>
  <c r="S2354" i="34"/>
  <c r="P2355" i="34"/>
  <c r="Q2355" i="34"/>
  <c r="R2355" i="34"/>
  <c r="S2355" i="34"/>
  <c r="P2356" i="34"/>
  <c r="Q2356" i="34"/>
  <c r="R2356" i="34"/>
  <c r="S2356" i="34"/>
  <c r="P2357" i="34"/>
  <c r="Q2357" i="34"/>
  <c r="R2357" i="34"/>
  <c r="S2357" i="34"/>
  <c r="P2358" i="34"/>
  <c r="Q2358" i="34"/>
  <c r="R2358" i="34"/>
  <c r="S2358" i="34"/>
  <c r="P2359" i="34"/>
  <c r="Q2359" i="34"/>
  <c r="R2359" i="34"/>
  <c r="S2359" i="34"/>
  <c r="P2360" i="34"/>
  <c r="Q2360" i="34"/>
  <c r="R2360" i="34"/>
  <c r="S2360" i="34"/>
  <c r="P2361" i="34"/>
  <c r="Q2361" i="34"/>
  <c r="R2361" i="34"/>
  <c r="S2361" i="34"/>
  <c r="P2362" i="34"/>
  <c r="Q2362" i="34"/>
  <c r="R2362" i="34"/>
  <c r="S2362" i="34"/>
  <c r="P2363" i="34"/>
  <c r="Q2363" i="34"/>
  <c r="R2363" i="34"/>
  <c r="S2363" i="34"/>
  <c r="P2364" i="34"/>
  <c r="Q2364" i="34"/>
  <c r="R2364" i="34"/>
  <c r="S2364" i="34"/>
  <c r="P2365" i="34"/>
  <c r="Q2365" i="34"/>
  <c r="R2365" i="34"/>
  <c r="S2365" i="34"/>
  <c r="P2366" i="34"/>
  <c r="Q2366" i="34"/>
  <c r="R2366" i="34"/>
  <c r="S2366" i="34"/>
  <c r="P2367" i="34"/>
  <c r="Q2367" i="34"/>
  <c r="R2367" i="34"/>
  <c r="S2367" i="34"/>
  <c r="P2368" i="34"/>
  <c r="Q2368" i="34"/>
  <c r="R2368" i="34"/>
  <c r="S2368" i="34"/>
  <c r="P2369" i="34"/>
  <c r="P2370" i="34"/>
  <c r="P2371" i="34"/>
  <c r="P2372" i="34"/>
  <c r="P2373" i="34"/>
  <c r="P2374" i="34"/>
  <c r="P2375" i="34"/>
  <c r="P2376" i="34"/>
  <c r="P2377" i="34"/>
  <c r="P2378" i="34"/>
  <c r="P2379" i="34"/>
  <c r="P2380" i="34"/>
  <c r="P2381" i="34"/>
  <c r="P2382" i="34"/>
  <c r="P2383" i="34"/>
  <c r="P2384" i="34"/>
  <c r="P2385" i="34"/>
  <c r="P2386" i="34"/>
  <c r="P2387" i="34"/>
  <c r="P2388" i="34"/>
  <c r="P2389" i="34"/>
  <c r="P2390" i="34"/>
  <c r="P2391" i="34"/>
  <c r="P2392" i="34"/>
  <c r="P2393" i="34"/>
  <c r="P2394" i="34"/>
  <c r="P2395" i="34"/>
  <c r="P2396" i="34"/>
  <c r="P2397" i="34"/>
  <c r="C13" i="34"/>
  <c r="B13" i="34" s="1"/>
  <c r="A13" i="34" s="1"/>
  <c r="C14" i="34"/>
  <c r="B14" i="34" s="1"/>
  <c r="A14" i="34" s="1"/>
  <c r="C15" i="34"/>
  <c r="B15" i="34" s="1"/>
  <c r="A15" i="34" s="1"/>
  <c r="B16" i="34"/>
  <c r="A16" i="34" s="1"/>
  <c r="C16" i="34"/>
  <c r="C17" i="34"/>
  <c r="B17" i="34" s="1"/>
  <c r="A17" i="34" s="1"/>
  <c r="C18" i="34"/>
  <c r="B18" i="34" s="1"/>
  <c r="A18" i="34" s="1"/>
  <c r="C19" i="34"/>
  <c r="B19" i="34" s="1"/>
  <c r="A19" i="34" s="1"/>
  <c r="B20" i="34"/>
  <c r="A20" i="34" s="1"/>
  <c r="C20" i="34"/>
  <c r="C21" i="34"/>
  <c r="B21" i="34" s="1"/>
  <c r="A21" i="34" s="1"/>
  <c r="C22" i="34"/>
  <c r="B22" i="34" s="1"/>
  <c r="A22" i="34" s="1"/>
  <c r="C23" i="34"/>
  <c r="B23" i="34" s="1"/>
  <c r="A23" i="34" s="1"/>
  <c r="B24" i="34"/>
  <c r="A24" i="34" s="1"/>
  <c r="C24" i="34"/>
  <c r="C25" i="34"/>
  <c r="B25" i="34" s="1"/>
  <c r="A25" i="34" s="1"/>
  <c r="C26" i="34"/>
  <c r="B26" i="34" s="1"/>
  <c r="A26" i="34" s="1"/>
  <c r="C27" i="34"/>
  <c r="B27" i="34" s="1"/>
  <c r="A27" i="34" s="1"/>
  <c r="B28" i="34"/>
  <c r="A28" i="34" s="1"/>
  <c r="C28" i="34"/>
  <c r="C29" i="34"/>
  <c r="B29" i="34" s="1"/>
  <c r="A29" i="34" s="1"/>
  <c r="C30" i="34"/>
  <c r="B30" i="34" s="1"/>
  <c r="A30" i="34" s="1"/>
  <c r="C31" i="34"/>
  <c r="B31" i="34" s="1"/>
  <c r="A31" i="34" s="1"/>
  <c r="B32" i="34"/>
  <c r="A32" i="34" s="1"/>
  <c r="C32" i="34"/>
  <c r="C33" i="34"/>
  <c r="B33" i="34" s="1"/>
  <c r="A33" i="34" s="1"/>
  <c r="C34" i="34"/>
  <c r="B34" i="34" s="1"/>
  <c r="A34" i="34" s="1"/>
  <c r="C35" i="34"/>
  <c r="B35" i="34" s="1"/>
  <c r="A35" i="34" s="1"/>
  <c r="B36" i="34"/>
  <c r="A36" i="34" s="1"/>
  <c r="C36" i="34"/>
  <c r="C37" i="34"/>
  <c r="B37" i="34" s="1"/>
  <c r="A37" i="34" s="1"/>
  <c r="C38" i="34"/>
  <c r="B38" i="34" s="1"/>
  <c r="A38" i="34" s="1"/>
  <c r="A39" i="34"/>
  <c r="C39" i="34"/>
  <c r="B39" i="34" s="1"/>
  <c r="B40" i="34"/>
  <c r="A40" i="34" s="1"/>
  <c r="C40" i="34"/>
  <c r="C41" i="34"/>
  <c r="B41" i="34" s="1"/>
  <c r="A41" i="34" s="1"/>
  <c r="C42" i="34"/>
  <c r="B42" i="34" s="1"/>
  <c r="A42" i="34" s="1"/>
  <c r="C43" i="34"/>
  <c r="B43" i="34" s="1"/>
  <c r="A43" i="34" s="1"/>
  <c r="B44" i="34"/>
  <c r="A44" i="34" s="1"/>
  <c r="C44" i="34"/>
  <c r="C45" i="34"/>
  <c r="B45" i="34" s="1"/>
  <c r="A45" i="34" s="1"/>
  <c r="C46" i="34"/>
  <c r="B46" i="34" s="1"/>
  <c r="A46" i="34" s="1"/>
  <c r="A47" i="34"/>
  <c r="C47" i="34"/>
  <c r="B47" i="34" s="1"/>
  <c r="B48" i="34"/>
  <c r="A48" i="34" s="1"/>
  <c r="C48" i="34"/>
  <c r="C49" i="34"/>
  <c r="B49" i="34" s="1"/>
  <c r="A49" i="34" s="1"/>
  <c r="C50" i="34"/>
  <c r="B50" i="34" s="1"/>
  <c r="A50" i="34" s="1"/>
  <c r="C51" i="34"/>
  <c r="B51" i="34" s="1"/>
  <c r="A51" i="34" s="1"/>
  <c r="B52" i="34"/>
  <c r="A52" i="34" s="1"/>
  <c r="C52" i="34"/>
  <c r="C53" i="34"/>
  <c r="B53" i="34" s="1"/>
  <c r="A53" i="34" s="1"/>
  <c r="C54" i="34"/>
  <c r="B54" i="34" s="1"/>
  <c r="A54" i="34" s="1"/>
  <c r="A55" i="34"/>
  <c r="C55" i="34"/>
  <c r="B55" i="34" s="1"/>
  <c r="B56" i="34"/>
  <c r="A56" i="34" s="1"/>
  <c r="C56" i="34"/>
  <c r="C57" i="34"/>
  <c r="B57" i="34" s="1"/>
  <c r="A57" i="34" s="1"/>
  <c r="C58" i="34"/>
  <c r="B58" i="34" s="1"/>
  <c r="A58" i="34" s="1"/>
  <c r="C59" i="34"/>
  <c r="B59" i="34" s="1"/>
  <c r="A59" i="34" s="1"/>
  <c r="B60" i="34"/>
  <c r="A60" i="34" s="1"/>
  <c r="C60" i="34"/>
  <c r="C61" i="34"/>
  <c r="B61" i="34" s="1"/>
  <c r="A61" i="34" s="1"/>
  <c r="C62" i="34"/>
  <c r="B62" i="34" s="1"/>
  <c r="A62" i="34" s="1"/>
  <c r="A63" i="34"/>
  <c r="C63" i="34"/>
  <c r="B63" i="34" s="1"/>
  <c r="B64" i="34"/>
  <c r="A64" i="34" s="1"/>
  <c r="C64" i="34"/>
  <c r="C65" i="34"/>
  <c r="B65" i="34" s="1"/>
  <c r="A65" i="34" s="1"/>
  <c r="C66" i="34"/>
  <c r="B66" i="34" s="1"/>
  <c r="A66" i="34" s="1"/>
  <c r="C67" i="34"/>
  <c r="B67" i="34" s="1"/>
  <c r="A67" i="34" s="1"/>
  <c r="B68" i="34"/>
  <c r="A68" i="34" s="1"/>
  <c r="C68" i="34"/>
  <c r="C69" i="34"/>
  <c r="B69" i="34" s="1"/>
  <c r="A69" i="34" s="1"/>
  <c r="C70" i="34"/>
  <c r="B70" i="34" s="1"/>
  <c r="A70" i="34" s="1"/>
  <c r="A71" i="34"/>
  <c r="C71" i="34"/>
  <c r="B71" i="34" s="1"/>
  <c r="B72" i="34"/>
  <c r="A72" i="34" s="1"/>
  <c r="C72" i="34"/>
  <c r="C73" i="34"/>
  <c r="B73" i="34" s="1"/>
  <c r="A73" i="34" s="1"/>
  <c r="C74" i="34"/>
  <c r="B74" i="34" s="1"/>
  <c r="A74" i="34" s="1"/>
  <c r="C75" i="34"/>
  <c r="B75" i="34" s="1"/>
  <c r="A75" i="34" s="1"/>
  <c r="A76" i="34"/>
  <c r="B76" i="34"/>
  <c r="C76" i="34"/>
  <c r="C77" i="34"/>
  <c r="B77" i="34" s="1"/>
  <c r="A77" i="34" s="1"/>
  <c r="C78" i="34"/>
  <c r="B78" i="34" s="1"/>
  <c r="A78" i="34" s="1"/>
  <c r="C79" i="34"/>
  <c r="B79" i="34" s="1"/>
  <c r="A79" i="34" s="1"/>
  <c r="A80" i="34"/>
  <c r="B80" i="34"/>
  <c r="C80" i="34"/>
  <c r="C81" i="34"/>
  <c r="B81" i="34" s="1"/>
  <c r="A81" i="34" s="1"/>
  <c r="C82" i="34"/>
  <c r="B82" i="34" s="1"/>
  <c r="A82" i="34" s="1"/>
  <c r="C83" i="34"/>
  <c r="B83" i="34" s="1"/>
  <c r="A83" i="34" s="1"/>
  <c r="A84" i="34"/>
  <c r="B84" i="34"/>
  <c r="C84" i="34"/>
  <c r="C85" i="34"/>
  <c r="B85" i="34" s="1"/>
  <c r="A85" i="34" s="1"/>
  <c r="C86" i="34"/>
  <c r="B86" i="34" s="1"/>
  <c r="A86" i="34" s="1"/>
  <c r="C87" i="34"/>
  <c r="B87" i="34" s="1"/>
  <c r="A87" i="34" s="1"/>
  <c r="A88" i="34"/>
  <c r="B88" i="34"/>
  <c r="C88" i="34"/>
  <c r="C89" i="34"/>
  <c r="B89" i="34" s="1"/>
  <c r="A89" i="34" s="1"/>
  <c r="C90" i="34"/>
  <c r="B90" i="34" s="1"/>
  <c r="A90" i="34" s="1"/>
  <c r="C91" i="34"/>
  <c r="B91" i="34" s="1"/>
  <c r="A91" i="34" s="1"/>
  <c r="A92" i="34"/>
  <c r="B92" i="34"/>
  <c r="C92" i="34"/>
  <c r="C93" i="34"/>
  <c r="B93" i="34" s="1"/>
  <c r="A93" i="34" s="1"/>
  <c r="C94" i="34"/>
  <c r="B94" i="34" s="1"/>
  <c r="A94" i="34" s="1"/>
  <c r="C95" i="34"/>
  <c r="B95" i="34" s="1"/>
  <c r="A95" i="34" s="1"/>
  <c r="A96" i="34"/>
  <c r="B96" i="34"/>
  <c r="C96" i="34"/>
  <c r="C97" i="34"/>
  <c r="B97" i="34" s="1"/>
  <c r="A97" i="34" s="1"/>
  <c r="C98" i="34"/>
  <c r="B98" i="34" s="1"/>
  <c r="A98" i="34" s="1"/>
  <c r="C99" i="34"/>
  <c r="B99" i="34" s="1"/>
  <c r="A99" i="34" s="1"/>
  <c r="A100" i="34"/>
  <c r="B100" i="34"/>
  <c r="C100" i="34"/>
  <c r="C101" i="34"/>
  <c r="B101" i="34" s="1"/>
  <c r="A101" i="34" s="1"/>
  <c r="C102" i="34"/>
  <c r="B102" i="34" s="1"/>
  <c r="A102" i="34" s="1"/>
  <c r="C103" i="34"/>
  <c r="B103" i="34" s="1"/>
  <c r="A103" i="34" s="1"/>
  <c r="A104" i="34"/>
  <c r="B104" i="34"/>
  <c r="C104" i="34"/>
  <c r="C105" i="34"/>
  <c r="B105" i="34" s="1"/>
  <c r="A105" i="34" s="1"/>
  <c r="C106" i="34"/>
  <c r="B106" i="34" s="1"/>
  <c r="A106" i="34" s="1"/>
  <c r="C107" i="34"/>
  <c r="B107" i="34" s="1"/>
  <c r="A107" i="34" s="1"/>
  <c r="B108" i="34"/>
  <c r="A108" i="34" s="1"/>
  <c r="C108" i="34"/>
  <c r="C109" i="34"/>
  <c r="B109" i="34" s="1"/>
  <c r="A109" i="34" s="1"/>
  <c r="C110" i="34"/>
  <c r="B110" i="34" s="1"/>
  <c r="A110" i="34" s="1"/>
  <c r="C111" i="34"/>
  <c r="B111" i="34" s="1"/>
  <c r="A111" i="34" s="1"/>
  <c r="B112" i="34"/>
  <c r="A112" i="34" s="1"/>
  <c r="C112" i="34"/>
  <c r="C113" i="34"/>
  <c r="B113" i="34" s="1"/>
  <c r="A113" i="34" s="1"/>
  <c r="B114" i="34"/>
  <c r="A114" i="34" s="1"/>
  <c r="C114" i="34"/>
  <c r="C115" i="34"/>
  <c r="B115" i="34" s="1"/>
  <c r="A115" i="34" s="1"/>
  <c r="A116" i="34"/>
  <c r="B116" i="34"/>
  <c r="C116" i="34"/>
  <c r="B117" i="34"/>
  <c r="A117" i="34" s="1"/>
  <c r="C117" i="34"/>
  <c r="C118" i="34"/>
  <c r="B118" i="34" s="1"/>
  <c r="A118" i="34" s="1"/>
  <c r="A119" i="34"/>
  <c r="C119" i="34"/>
  <c r="B119" i="34" s="1"/>
  <c r="B120" i="34"/>
  <c r="A120" i="34" s="1"/>
  <c r="C120" i="34"/>
  <c r="C121" i="34"/>
  <c r="B121" i="34" s="1"/>
  <c r="A121" i="34" s="1"/>
  <c r="B122" i="34"/>
  <c r="A122" i="34" s="1"/>
  <c r="C122" i="34"/>
  <c r="C123" i="34"/>
  <c r="B123" i="34" s="1"/>
  <c r="A123" i="34" s="1"/>
  <c r="A124" i="34"/>
  <c r="B124" i="34"/>
  <c r="C124" i="34"/>
  <c r="B125" i="34"/>
  <c r="A125" i="34" s="1"/>
  <c r="C125" i="34"/>
  <c r="C126" i="34"/>
  <c r="B126" i="34" s="1"/>
  <c r="A126" i="34" s="1"/>
  <c r="A127" i="34"/>
  <c r="C127" i="34"/>
  <c r="B127" i="34" s="1"/>
  <c r="B128" i="34"/>
  <c r="A128" i="34" s="1"/>
  <c r="C128" i="34"/>
  <c r="C129" i="34"/>
  <c r="B129" i="34" s="1"/>
  <c r="A129" i="34" s="1"/>
  <c r="B130" i="34"/>
  <c r="A130" i="34" s="1"/>
  <c r="C130" i="34"/>
  <c r="C131" i="34"/>
  <c r="B131" i="34" s="1"/>
  <c r="A131" i="34" s="1"/>
  <c r="A132" i="34"/>
  <c r="B132" i="34"/>
  <c r="C132" i="34"/>
  <c r="B133" i="34"/>
  <c r="A133" i="34" s="1"/>
  <c r="C133" i="34"/>
  <c r="C134" i="34"/>
  <c r="B134" i="34" s="1"/>
  <c r="A134" i="34" s="1"/>
  <c r="A135" i="34"/>
  <c r="C135" i="34"/>
  <c r="B135" i="34" s="1"/>
  <c r="B136" i="34"/>
  <c r="A136" i="34" s="1"/>
  <c r="C136" i="34"/>
  <c r="C137" i="34"/>
  <c r="B137" i="34" s="1"/>
  <c r="A137" i="34" s="1"/>
  <c r="B138" i="34"/>
  <c r="A138" i="34" s="1"/>
  <c r="C138" i="34"/>
  <c r="C139" i="34"/>
  <c r="B139" i="34" s="1"/>
  <c r="A139" i="34" s="1"/>
  <c r="A140" i="34"/>
  <c r="B140" i="34"/>
  <c r="C140" i="34"/>
  <c r="B141" i="34"/>
  <c r="A141" i="34" s="1"/>
  <c r="C141" i="34"/>
  <c r="C142" i="34"/>
  <c r="B142" i="34" s="1"/>
  <c r="A142" i="34" s="1"/>
  <c r="A143" i="34"/>
  <c r="C143" i="34"/>
  <c r="B143" i="34" s="1"/>
  <c r="B144" i="34"/>
  <c r="A144" i="34" s="1"/>
  <c r="C144" i="34"/>
  <c r="C145" i="34"/>
  <c r="B145" i="34" s="1"/>
  <c r="A145" i="34" s="1"/>
  <c r="B146" i="34"/>
  <c r="A146" i="34" s="1"/>
  <c r="C146" i="34"/>
  <c r="C147" i="34"/>
  <c r="B147" i="34" s="1"/>
  <c r="A147" i="34" s="1"/>
  <c r="A148" i="34"/>
  <c r="B148" i="34"/>
  <c r="C148" i="34"/>
  <c r="A149" i="34"/>
  <c r="B149" i="34"/>
  <c r="C149" i="34"/>
  <c r="C150" i="34"/>
  <c r="B150" i="34" s="1"/>
  <c r="A150" i="34" s="1"/>
  <c r="A151" i="34"/>
  <c r="C151" i="34"/>
  <c r="B151" i="34" s="1"/>
  <c r="B152" i="34"/>
  <c r="A152" i="34" s="1"/>
  <c r="C152" i="34"/>
  <c r="C153" i="34"/>
  <c r="B153" i="34" s="1"/>
  <c r="A153" i="34" s="1"/>
  <c r="B154" i="34"/>
  <c r="A154" i="34" s="1"/>
  <c r="C154" i="34"/>
  <c r="C155" i="34"/>
  <c r="B155" i="34" s="1"/>
  <c r="A155" i="34" s="1"/>
  <c r="A156" i="34"/>
  <c r="B156" i="34"/>
  <c r="C156" i="34"/>
  <c r="B157" i="34"/>
  <c r="A157" i="34" s="1"/>
  <c r="C157" i="34"/>
  <c r="C158" i="34"/>
  <c r="B158" i="34" s="1"/>
  <c r="A158" i="34" s="1"/>
  <c r="A159" i="34"/>
  <c r="C159" i="34"/>
  <c r="B159" i="34" s="1"/>
  <c r="B160" i="34"/>
  <c r="A160" i="34" s="1"/>
  <c r="C160" i="34"/>
  <c r="C161" i="34"/>
  <c r="B161" i="34" s="1"/>
  <c r="A161" i="34" s="1"/>
  <c r="B162" i="34"/>
  <c r="A162" i="34" s="1"/>
  <c r="C162" i="34"/>
  <c r="C163" i="34"/>
  <c r="B163" i="34" s="1"/>
  <c r="A163" i="34" s="1"/>
  <c r="A164" i="34"/>
  <c r="B164" i="34"/>
  <c r="C164" i="34"/>
  <c r="B165" i="34"/>
  <c r="A165" i="34" s="1"/>
  <c r="C165" i="34"/>
  <c r="C166" i="34"/>
  <c r="B166" i="34" s="1"/>
  <c r="A166" i="34" s="1"/>
  <c r="A167" i="34"/>
  <c r="C167" i="34"/>
  <c r="B167" i="34" s="1"/>
  <c r="B168" i="34"/>
  <c r="A168" i="34" s="1"/>
  <c r="C168" i="34"/>
  <c r="C169" i="34"/>
  <c r="B169" i="34" s="1"/>
  <c r="A169" i="34" s="1"/>
  <c r="B170" i="34"/>
  <c r="A170" i="34" s="1"/>
  <c r="C170" i="34"/>
  <c r="C171" i="34"/>
  <c r="B171" i="34" s="1"/>
  <c r="A171" i="34" s="1"/>
  <c r="A172" i="34"/>
  <c r="B172" i="34"/>
  <c r="C172" i="34"/>
  <c r="B173" i="34"/>
  <c r="A173" i="34" s="1"/>
  <c r="C173" i="34"/>
  <c r="C174" i="34"/>
  <c r="B174" i="34" s="1"/>
  <c r="A174" i="34" s="1"/>
  <c r="A175" i="34"/>
  <c r="C175" i="34"/>
  <c r="B175" i="34" s="1"/>
  <c r="B176" i="34"/>
  <c r="A176" i="34" s="1"/>
  <c r="C176" i="34"/>
  <c r="C177" i="34"/>
  <c r="B177" i="34" s="1"/>
  <c r="A177" i="34" s="1"/>
  <c r="B178" i="34"/>
  <c r="A178" i="34" s="1"/>
  <c r="C178" i="34"/>
  <c r="C179" i="34"/>
  <c r="B179" i="34" s="1"/>
  <c r="A179" i="34" s="1"/>
  <c r="A180" i="34"/>
  <c r="B180" i="34"/>
  <c r="C180" i="34"/>
  <c r="A181" i="34"/>
  <c r="B181" i="34"/>
  <c r="C181" i="34"/>
  <c r="C182" i="34"/>
  <c r="B182" i="34" s="1"/>
  <c r="A182" i="34" s="1"/>
  <c r="A183" i="34"/>
  <c r="C183" i="34"/>
  <c r="B183" i="34" s="1"/>
  <c r="B184" i="34"/>
  <c r="A184" i="34" s="1"/>
  <c r="C184" i="34"/>
  <c r="C185" i="34"/>
  <c r="B185" i="34" s="1"/>
  <c r="A185" i="34" s="1"/>
  <c r="C186" i="34"/>
  <c r="B186" i="34" s="1"/>
  <c r="A186" i="34" s="1"/>
  <c r="A187" i="34"/>
  <c r="C187" i="34"/>
  <c r="B187" i="34" s="1"/>
  <c r="B188" i="34"/>
  <c r="A188" i="34" s="1"/>
  <c r="C188" i="34"/>
  <c r="C189" i="34"/>
  <c r="B189" i="34" s="1"/>
  <c r="A189" i="34" s="1"/>
  <c r="C190" i="34"/>
  <c r="B190" i="34" s="1"/>
  <c r="A190" i="34" s="1"/>
  <c r="A191" i="34"/>
  <c r="C191" i="34"/>
  <c r="B191" i="34" s="1"/>
  <c r="B192" i="34"/>
  <c r="A192" i="34" s="1"/>
  <c r="C192" i="34"/>
  <c r="C193" i="34"/>
  <c r="B193" i="34" s="1"/>
  <c r="A193" i="34" s="1"/>
  <c r="C194" i="34"/>
  <c r="B194" i="34" s="1"/>
  <c r="A194" i="34" s="1"/>
  <c r="A195" i="34"/>
  <c r="C195" i="34"/>
  <c r="B195" i="34" s="1"/>
  <c r="B196" i="34"/>
  <c r="A196" i="34" s="1"/>
  <c r="C196" i="34"/>
  <c r="C197" i="34"/>
  <c r="B197" i="34" s="1"/>
  <c r="A197" i="34" s="1"/>
  <c r="C198" i="34"/>
  <c r="B198" i="34" s="1"/>
  <c r="A198" i="34" s="1"/>
  <c r="A199" i="34"/>
  <c r="C199" i="34"/>
  <c r="B199" i="34" s="1"/>
  <c r="B200" i="34"/>
  <c r="A200" i="34" s="1"/>
  <c r="C200" i="34"/>
  <c r="C201" i="34"/>
  <c r="B201" i="34" s="1"/>
  <c r="A201" i="34" s="1"/>
  <c r="C202" i="34"/>
  <c r="B202" i="34" s="1"/>
  <c r="A202" i="34" s="1"/>
  <c r="A203" i="34"/>
  <c r="C203" i="34"/>
  <c r="B203" i="34" s="1"/>
  <c r="B204" i="34"/>
  <c r="A204" i="34" s="1"/>
  <c r="C204" i="34"/>
  <c r="C205" i="34"/>
  <c r="B205" i="34" s="1"/>
  <c r="A205" i="34" s="1"/>
  <c r="C206" i="34"/>
  <c r="B206" i="34" s="1"/>
  <c r="A206" i="34" s="1"/>
  <c r="A207" i="34"/>
  <c r="C207" i="34"/>
  <c r="B207" i="34" s="1"/>
  <c r="B208" i="34"/>
  <c r="A208" i="34" s="1"/>
  <c r="C208" i="34"/>
  <c r="C209" i="34"/>
  <c r="B209" i="34" s="1"/>
  <c r="A209" i="34" s="1"/>
  <c r="C210" i="34"/>
  <c r="B210" i="34" s="1"/>
  <c r="A210" i="34" s="1"/>
  <c r="A211" i="34"/>
  <c r="C211" i="34"/>
  <c r="B211" i="34" s="1"/>
  <c r="B212" i="34"/>
  <c r="A212" i="34" s="1"/>
  <c r="C212" i="34"/>
  <c r="C213" i="34"/>
  <c r="B213" i="34" s="1"/>
  <c r="A213" i="34" s="1"/>
  <c r="C214" i="34"/>
  <c r="B214" i="34" s="1"/>
  <c r="A214" i="34" s="1"/>
  <c r="A215" i="34"/>
  <c r="C215" i="34"/>
  <c r="B215" i="34" s="1"/>
  <c r="B216" i="34"/>
  <c r="A216" i="34" s="1"/>
  <c r="C216" i="34"/>
  <c r="C217" i="34"/>
  <c r="B217" i="34" s="1"/>
  <c r="A217" i="34" s="1"/>
  <c r="C218" i="34"/>
  <c r="B218" i="34" s="1"/>
  <c r="A218" i="34" s="1"/>
  <c r="A219" i="34"/>
  <c r="C219" i="34"/>
  <c r="B219" i="34" s="1"/>
  <c r="B220" i="34"/>
  <c r="A220" i="34" s="1"/>
  <c r="C220" i="34"/>
  <c r="C221" i="34"/>
  <c r="B221" i="34" s="1"/>
  <c r="A221" i="34" s="1"/>
  <c r="C222" i="34"/>
  <c r="B222" i="34" s="1"/>
  <c r="A222" i="34" s="1"/>
  <c r="A223" i="34"/>
  <c r="C223" i="34"/>
  <c r="B223" i="34" s="1"/>
  <c r="B224" i="34"/>
  <c r="A224" i="34" s="1"/>
  <c r="C224" i="34"/>
  <c r="C225" i="34"/>
  <c r="B225" i="34" s="1"/>
  <c r="A225" i="34" s="1"/>
  <c r="C226" i="34"/>
  <c r="B226" i="34" s="1"/>
  <c r="A226" i="34" s="1"/>
  <c r="A227" i="34"/>
  <c r="C227" i="34"/>
  <c r="B227" i="34" s="1"/>
  <c r="B228" i="34"/>
  <c r="A228" i="34" s="1"/>
  <c r="C228" i="34"/>
  <c r="C229" i="34"/>
  <c r="B229" i="34" s="1"/>
  <c r="A229" i="34" s="1"/>
  <c r="C230" i="34"/>
  <c r="B230" i="34" s="1"/>
  <c r="A230" i="34" s="1"/>
  <c r="A231" i="34"/>
  <c r="C231" i="34"/>
  <c r="B231" i="34" s="1"/>
  <c r="B232" i="34"/>
  <c r="A232" i="34" s="1"/>
  <c r="C232" i="34"/>
  <c r="C233" i="34"/>
  <c r="B233" i="34" s="1"/>
  <c r="A233" i="34" s="1"/>
  <c r="C234" i="34"/>
  <c r="B234" i="34" s="1"/>
  <c r="A234" i="34" s="1"/>
  <c r="A235" i="34"/>
  <c r="C235" i="34"/>
  <c r="B235" i="34" s="1"/>
  <c r="B236" i="34"/>
  <c r="A236" i="34" s="1"/>
  <c r="C236" i="34"/>
  <c r="C237" i="34"/>
  <c r="B237" i="34" s="1"/>
  <c r="A237" i="34" s="1"/>
  <c r="C238" i="34"/>
  <c r="B238" i="34" s="1"/>
  <c r="A238" i="34" s="1"/>
  <c r="A239" i="34"/>
  <c r="C239" i="34"/>
  <c r="B239" i="34" s="1"/>
  <c r="B240" i="34"/>
  <c r="A240" i="34" s="1"/>
  <c r="C240" i="34"/>
  <c r="C241" i="34"/>
  <c r="B241" i="34" s="1"/>
  <c r="A241" i="34" s="1"/>
  <c r="C242" i="34"/>
  <c r="B242" i="34" s="1"/>
  <c r="A242" i="34" s="1"/>
  <c r="A243" i="34"/>
  <c r="C243" i="34"/>
  <c r="B243" i="34" s="1"/>
  <c r="B244" i="34"/>
  <c r="A244" i="34" s="1"/>
  <c r="C244" i="34"/>
  <c r="C245" i="34"/>
  <c r="B245" i="34" s="1"/>
  <c r="A245" i="34" s="1"/>
  <c r="C246" i="34"/>
  <c r="B246" i="34" s="1"/>
  <c r="A246" i="34" s="1"/>
  <c r="A247" i="34"/>
  <c r="C247" i="34"/>
  <c r="B247" i="34" s="1"/>
  <c r="B248" i="34"/>
  <c r="A248" i="34" s="1"/>
  <c r="C248" i="34"/>
  <c r="C249" i="34"/>
  <c r="B249" i="34" s="1"/>
  <c r="A249" i="34" s="1"/>
  <c r="C250" i="34"/>
  <c r="B250" i="34" s="1"/>
  <c r="A250" i="34" s="1"/>
  <c r="A251" i="34"/>
  <c r="C251" i="34"/>
  <c r="B251" i="34" s="1"/>
  <c r="B252" i="34"/>
  <c r="A252" i="34" s="1"/>
  <c r="C252" i="34"/>
  <c r="C253" i="34"/>
  <c r="B253" i="34" s="1"/>
  <c r="A253" i="34" s="1"/>
  <c r="C254" i="34"/>
  <c r="B254" i="34" s="1"/>
  <c r="A254" i="34" s="1"/>
  <c r="A255" i="34"/>
  <c r="C255" i="34"/>
  <c r="B255" i="34" s="1"/>
  <c r="B256" i="34"/>
  <c r="A256" i="34" s="1"/>
  <c r="C256" i="34"/>
  <c r="C257" i="34"/>
  <c r="B257" i="34" s="1"/>
  <c r="A257" i="34" s="1"/>
  <c r="C258" i="34"/>
  <c r="B258" i="34" s="1"/>
  <c r="A258" i="34" s="1"/>
  <c r="A259" i="34"/>
  <c r="C259" i="34"/>
  <c r="B259" i="34" s="1"/>
  <c r="B260" i="34"/>
  <c r="A260" i="34" s="1"/>
  <c r="C260" i="34"/>
  <c r="C261" i="34"/>
  <c r="B261" i="34" s="1"/>
  <c r="A261" i="34" s="1"/>
  <c r="C262" i="34"/>
  <c r="B262" i="34" s="1"/>
  <c r="A262" i="34" s="1"/>
  <c r="A263" i="34"/>
  <c r="C263" i="34"/>
  <c r="B263" i="34" s="1"/>
  <c r="B264" i="34"/>
  <c r="A264" i="34" s="1"/>
  <c r="C264" i="34"/>
  <c r="C265" i="34"/>
  <c r="B265" i="34" s="1"/>
  <c r="A265" i="34" s="1"/>
  <c r="C266" i="34"/>
  <c r="B266" i="34" s="1"/>
  <c r="A266" i="34" s="1"/>
  <c r="C267" i="34"/>
  <c r="B267" i="34" s="1"/>
  <c r="A267" i="34" s="1"/>
  <c r="A268" i="34"/>
  <c r="B268" i="34"/>
  <c r="C268" i="34"/>
  <c r="C269" i="34"/>
  <c r="B269" i="34" s="1"/>
  <c r="A269" i="34" s="1"/>
  <c r="C270" i="34"/>
  <c r="B270" i="34" s="1"/>
  <c r="A270" i="34" s="1"/>
  <c r="A271" i="34"/>
  <c r="C271" i="34"/>
  <c r="B271" i="34" s="1"/>
  <c r="B272" i="34"/>
  <c r="A272" i="34" s="1"/>
  <c r="C272" i="34"/>
  <c r="A273" i="34"/>
  <c r="C273" i="34"/>
  <c r="B273" i="34" s="1"/>
  <c r="B274" i="34"/>
  <c r="A274" i="34" s="1"/>
  <c r="C274" i="34"/>
  <c r="C275" i="34"/>
  <c r="B275" i="34" s="1"/>
  <c r="A275" i="34" s="1"/>
  <c r="B276" i="34"/>
  <c r="A276" i="34" s="1"/>
  <c r="C276" i="34"/>
  <c r="B277" i="34"/>
  <c r="A277" i="34" s="1"/>
  <c r="C277" i="34"/>
  <c r="C278" i="34"/>
  <c r="B278" i="34" s="1"/>
  <c r="A278" i="34" s="1"/>
  <c r="C279" i="34"/>
  <c r="B279" i="34" s="1"/>
  <c r="A279" i="34" s="1"/>
  <c r="B280" i="34"/>
  <c r="A280" i="34" s="1"/>
  <c r="C280" i="34"/>
  <c r="B281" i="34"/>
  <c r="A281" i="34" s="1"/>
  <c r="C281" i="34"/>
  <c r="C282" i="34"/>
  <c r="B282" i="34" s="1"/>
  <c r="A282" i="34" s="1"/>
  <c r="C283" i="34"/>
  <c r="B283" i="34" s="1"/>
  <c r="A283" i="34" s="1"/>
  <c r="B284" i="34"/>
  <c r="A284" i="34" s="1"/>
  <c r="C284" i="34"/>
  <c r="B285" i="34"/>
  <c r="A285" i="34" s="1"/>
  <c r="C285" i="34"/>
  <c r="C286" i="34"/>
  <c r="B286" i="34" s="1"/>
  <c r="A286" i="34" s="1"/>
  <c r="C287" i="34"/>
  <c r="B287" i="34" s="1"/>
  <c r="A287" i="34" s="1"/>
  <c r="B288" i="34"/>
  <c r="A288" i="34" s="1"/>
  <c r="C288" i="34"/>
  <c r="B289" i="34"/>
  <c r="A289" i="34" s="1"/>
  <c r="C289" i="34"/>
  <c r="C290" i="34"/>
  <c r="B290" i="34" s="1"/>
  <c r="A290" i="34" s="1"/>
  <c r="C291" i="34"/>
  <c r="B291" i="34" s="1"/>
  <c r="A291" i="34" s="1"/>
  <c r="B292" i="34"/>
  <c r="A292" i="34" s="1"/>
  <c r="C292" i="34"/>
  <c r="B293" i="34"/>
  <c r="A293" i="34" s="1"/>
  <c r="C293" i="34"/>
  <c r="C294" i="34"/>
  <c r="B294" i="34" s="1"/>
  <c r="A294" i="34" s="1"/>
  <c r="C295" i="34"/>
  <c r="B295" i="34" s="1"/>
  <c r="A295" i="34" s="1"/>
  <c r="B296" i="34"/>
  <c r="A296" i="34" s="1"/>
  <c r="C296" i="34"/>
  <c r="B297" i="34"/>
  <c r="A297" i="34" s="1"/>
  <c r="C297" i="34"/>
  <c r="C298" i="34"/>
  <c r="B298" i="34" s="1"/>
  <c r="A298" i="34" s="1"/>
  <c r="C299" i="34"/>
  <c r="B299" i="34" s="1"/>
  <c r="A299" i="34" s="1"/>
  <c r="B300" i="34"/>
  <c r="A300" i="34" s="1"/>
  <c r="C300" i="34"/>
  <c r="B301" i="34"/>
  <c r="A301" i="34" s="1"/>
  <c r="C301" i="34"/>
  <c r="C302" i="34"/>
  <c r="B302" i="34" s="1"/>
  <c r="A302" i="34" s="1"/>
  <c r="C303" i="34"/>
  <c r="B303" i="34" s="1"/>
  <c r="A303" i="34" s="1"/>
  <c r="B304" i="34"/>
  <c r="A304" i="34" s="1"/>
  <c r="C304" i="34"/>
  <c r="B305" i="34"/>
  <c r="A305" i="34" s="1"/>
  <c r="C305" i="34"/>
  <c r="C306" i="34"/>
  <c r="B306" i="34" s="1"/>
  <c r="A306" i="34" s="1"/>
  <c r="C307" i="34"/>
  <c r="B307" i="34" s="1"/>
  <c r="A307" i="34" s="1"/>
  <c r="B308" i="34"/>
  <c r="A308" i="34" s="1"/>
  <c r="C308" i="34"/>
  <c r="B309" i="34"/>
  <c r="A309" i="34" s="1"/>
  <c r="C309" i="34"/>
  <c r="C310" i="34"/>
  <c r="B310" i="34" s="1"/>
  <c r="A310" i="34" s="1"/>
  <c r="C311" i="34"/>
  <c r="B311" i="34" s="1"/>
  <c r="A311" i="34" s="1"/>
  <c r="B312" i="34"/>
  <c r="A312" i="34" s="1"/>
  <c r="C312" i="34"/>
  <c r="B313" i="34"/>
  <c r="A313" i="34" s="1"/>
  <c r="C313" i="34"/>
  <c r="C314" i="34"/>
  <c r="B314" i="34" s="1"/>
  <c r="A314" i="34" s="1"/>
  <c r="C315" i="34"/>
  <c r="B315" i="34" s="1"/>
  <c r="A315" i="34" s="1"/>
  <c r="B316" i="34"/>
  <c r="A316" i="34" s="1"/>
  <c r="C316" i="34"/>
  <c r="B317" i="34"/>
  <c r="A317" i="34" s="1"/>
  <c r="C317" i="34"/>
  <c r="C318" i="34"/>
  <c r="B318" i="34" s="1"/>
  <c r="A318" i="34" s="1"/>
  <c r="C319" i="34"/>
  <c r="B319" i="34" s="1"/>
  <c r="A319" i="34" s="1"/>
  <c r="B320" i="34"/>
  <c r="A320" i="34" s="1"/>
  <c r="C320" i="34"/>
  <c r="B321" i="34"/>
  <c r="A321" i="34" s="1"/>
  <c r="C321" i="34"/>
  <c r="C322" i="34"/>
  <c r="B322" i="34" s="1"/>
  <c r="A322" i="34" s="1"/>
  <c r="C323" i="34"/>
  <c r="B323" i="34" s="1"/>
  <c r="A323" i="34" s="1"/>
  <c r="B324" i="34"/>
  <c r="A324" i="34" s="1"/>
  <c r="C324" i="34"/>
  <c r="B325" i="34"/>
  <c r="A325" i="34" s="1"/>
  <c r="C325" i="34"/>
  <c r="C326" i="34"/>
  <c r="B326" i="34" s="1"/>
  <c r="A326" i="34" s="1"/>
  <c r="C327" i="34"/>
  <c r="B327" i="34" s="1"/>
  <c r="A327" i="34" s="1"/>
  <c r="B328" i="34"/>
  <c r="A328" i="34" s="1"/>
  <c r="C328" i="34"/>
  <c r="B329" i="34"/>
  <c r="A329" i="34" s="1"/>
  <c r="C329" i="34"/>
  <c r="C330" i="34"/>
  <c r="B330" i="34" s="1"/>
  <c r="A330" i="34" s="1"/>
  <c r="C331" i="34"/>
  <c r="B331" i="34" s="1"/>
  <c r="A331" i="34" s="1"/>
  <c r="B332" i="34"/>
  <c r="A332" i="34" s="1"/>
  <c r="C332" i="34"/>
  <c r="B333" i="34"/>
  <c r="A333" i="34" s="1"/>
  <c r="C333" i="34"/>
  <c r="C334" i="34"/>
  <c r="B334" i="34" s="1"/>
  <c r="A334" i="34" s="1"/>
  <c r="C335" i="34"/>
  <c r="B335" i="34" s="1"/>
  <c r="A335" i="34" s="1"/>
  <c r="B336" i="34"/>
  <c r="A336" i="34" s="1"/>
  <c r="C336" i="34"/>
  <c r="B337" i="34"/>
  <c r="A337" i="34" s="1"/>
  <c r="C337" i="34"/>
  <c r="C338" i="34"/>
  <c r="B338" i="34" s="1"/>
  <c r="A338" i="34" s="1"/>
  <c r="C339" i="34"/>
  <c r="B339" i="34" s="1"/>
  <c r="A339" i="34" s="1"/>
  <c r="B340" i="34"/>
  <c r="A340" i="34" s="1"/>
  <c r="C340" i="34"/>
  <c r="B341" i="34"/>
  <c r="A341" i="34" s="1"/>
  <c r="C341" i="34"/>
  <c r="C342" i="34"/>
  <c r="B342" i="34" s="1"/>
  <c r="A342" i="34" s="1"/>
  <c r="C343" i="34"/>
  <c r="B343" i="34" s="1"/>
  <c r="A343" i="34" s="1"/>
  <c r="B344" i="34"/>
  <c r="A344" i="34" s="1"/>
  <c r="C344" i="34"/>
  <c r="B345" i="34"/>
  <c r="A345" i="34" s="1"/>
  <c r="C345" i="34"/>
  <c r="C346" i="34"/>
  <c r="B346" i="34" s="1"/>
  <c r="A346" i="34" s="1"/>
  <c r="C347" i="34"/>
  <c r="B347" i="34" s="1"/>
  <c r="A347" i="34" s="1"/>
  <c r="B348" i="34"/>
  <c r="A348" i="34" s="1"/>
  <c r="C348" i="34"/>
  <c r="B349" i="34"/>
  <c r="A349" i="34" s="1"/>
  <c r="C349" i="34"/>
  <c r="C350" i="34"/>
  <c r="B350" i="34" s="1"/>
  <c r="A350" i="34" s="1"/>
  <c r="C351" i="34"/>
  <c r="B351" i="34" s="1"/>
  <c r="A351" i="34" s="1"/>
  <c r="B352" i="34"/>
  <c r="A352" i="34" s="1"/>
  <c r="C352" i="34"/>
  <c r="B353" i="34"/>
  <c r="A353" i="34" s="1"/>
  <c r="C353" i="34"/>
  <c r="C354" i="34"/>
  <c r="B354" i="34" s="1"/>
  <c r="A354" i="34" s="1"/>
  <c r="C355" i="34"/>
  <c r="B355" i="34" s="1"/>
  <c r="A355" i="34" s="1"/>
  <c r="B356" i="34"/>
  <c r="A356" i="34" s="1"/>
  <c r="C356" i="34"/>
  <c r="B357" i="34"/>
  <c r="A357" i="34" s="1"/>
  <c r="C357" i="34"/>
  <c r="C358" i="34"/>
  <c r="B358" i="34" s="1"/>
  <c r="A358" i="34" s="1"/>
  <c r="C359" i="34"/>
  <c r="B359" i="34" s="1"/>
  <c r="A359" i="34" s="1"/>
  <c r="B360" i="34"/>
  <c r="A360" i="34" s="1"/>
  <c r="C360" i="34"/>
  <c r="B361" i="34"/>
  <c r="A361" i="34" s="1"/>
  <c r="C361" i="34"/>
  <c r="C362" i="34"/>
  <c r="B362" i="34" s="1"/>
  <c r="A362" i="34" s="1"/>
  <c r="C363" i="34"/>
  <c r="B363" i="34" s="1"/>
  <c r="A363" i="34" s="1"/>
  <c r="B364" i="34"/>
  <c r="A364" i="34" s="1"/>
  <c r="C364" i="34"/>
  <c r="B365" i="34"/>
  <c r="A365" i="34" s="1"/>
  <c r="C365" i="34"/>
  <c r="C366" i="34"/>
  <c r="B366" i="34" s="1"/>
  <c r="A366" i="34" s="1"/>
  <c r="C367" i="34"/>
  <c r="B367" i="34" s="1"/>
  <c r="A367" i="34" s="1"/>
  <c r="B368" i="34"/>
  <c r="A368" i="34" s="1"/>
  <c r="C368" i="34"/>
  <c r="B369" i="34"/>
  <c r="A369" i="34" s="1"/>
  <c r="C369" i="34"/>
  <c r="C370" i="34"/>
  <c r="B370" i="34" s="1"/>
  <c r="A370" i="34" s="1"/>
  <c r="C371" i="34"/>
  <c r="B371" i="34" s="1"/>
  <c r="A371" i="34" s="1"/>
  <c r="B372" i="34"/>
  <c r="A372" i="34" s="1"/>
  <c r="C372" i="34"/>
  <c r="B373" i="34"/>
  <c r="A373" i="34" s="1"/>
  <c r="C373" i="34"/>
  <c r="C374" i="34"/>
  <c r="B374" i="34" s="1"/>
  <c r="A374" i="34" s="1"/>
  <c r="C375" i="34"/>
  <c r="B375" i="34" s="1"/>
  <c r="A375" i="34" s="1"/>
  <c r="B376" i="34"/>
  <c r="A376" i="34" s="1"/>
  <c r="C376" i="34"/>
  <c r="B377" i="34"/>
  <c r="A377" i="34" s="1"/>
  <c r="C377" i="34"/>
  <c r="C378" i="34"/>
  <c r="B378" i="34" s="1"/>
  <c r="A378" i="34" s="1"/>
  <c r="C379" i="34"/>
  <c r="B379" i="34" s="1"/>
  <c r="A379" i="34" s="1"/>
  <c r="B380" i="34"/>
  <c r="A380" i="34" s="1"/>
  <c r="C380" i="34"/>
  <c r="B381" i="34"/>
  <c r="A381" i="34" s="1"/>
  <c r="C381" i="34"/>
  <c r="C382" i="34"/>
  <c r="B382" i="34" s="1"/>
  <c r="A382" i="34" s="1"/>
  <c r="C383" i="34"/>
  <c r="B383" i="34" s="1"/>
  <c r="A383" i="34" s="1"/>
  <c r="B384" i="34"/>
  <c r="A384" i="34" s="1"/>
  <c r="C384" i="34"/>
  <c r="B385" i="34"/>
  <c r="A385" i="34" s="1"/>
  <c r="C385" i="34"/>
  <c r="C386" i="34"/>
  <c r="B386" i="34" s="1"/>
  <c r="A386" i="34" s="1"/>
  <c r="C387" i="34"/>
  <c r="B387" i="34" s="1"/>
  <c r="A387" i="34" s="1"/>
  <c r="B388" i="34"/>
  <c r="A388" i="34" s="1"/>
  <c r="C388" i="34"/>
  <c r="A389" i="34"/>
  <c r="C389" i="34"/>
  <c r="B389" i="34" s="1"/>
  <c r="C390" i="34"/>
  <c r="B390" i="34" s="1"/>
  <c r="A390" i="34" s="1"/>
  <c r="C391" i="34"/>
  <c r="B391" i="34" s="1"/>
  <c r="A391" i="34" s="1"/>
  <c r="B392" i="34"/>
  <c r="A392" i="34" s="1"/>
  <c r="C392" i="34"/>
  <c r="A393" i="34"/>
  <c r="C393" i="34"/>
  <c r="B393" i="34" s="1"/>
  <c r="C394" i="34"/>
  <c r="B394" i="34" s="1"/>
  <c r="A394" i="34" s="1"/>
  <c r="C395" i="34"/>
  <c r="B395" i="34" s="1"/>
  <c r="A395" i="34" s="1"/>
  <c r="B396" i="34"/>
  <c r="A396" i="34" s="1"/>
  <c r="C396" i="34"/>
  <c r="A397" i="34"/>
  <c r="C397" i="34"/>
  <c r="B397" i="34" s="1"/>
  <c r="C398" i="34"/>
  <c r="B398" i="34" s="1"/>
  <c r="A398" i="34" s="1"/>
  <c r="C399" i="34"/>
  <c r="B399" i="34" s="1"/>
  <c r="A399" i="34" s="1"/>
  <c r="B400" i="34"/>
  <c r="A400" i="34" s="1"/>
  <c r="C400" i="34"/>
  <c r="A401" i="34"/>
  <c r="C401" i="34"/>
  <c r="B401" i="34" s="1"/>
  <c r="C402" i="34"/>
  <c r="B402" i="34" s="1"/>
  <c r="A402" i="34" s="1"/>
  <c r="C403" i="34"/>
  <c r="B403" i="34" s="1"/>
  <c r="A403" i="34" s="1"/>
  <c r="B404" i="34"/>
  <c r="A404" i="34" s="1"/>
  <c r="C404" i="34"/>
  <c r="A405" i="34"/>
  <c r="C405" i="34"/>
  <c r="B405" i="34" s="1"/>
  <c r="C406" i="34"/>
  <c r="B406" i="34" s="1"/>
  <c r="A406" i="34" s="1"/>
  <c r="C407" i="34"/>
  <c r="B407" i="34" s="1"/>
  <c r="A407" i="34" s="1"/>
  <c r="B408" i="34"/>
  <c r="A408" i="34" s="1"/>
  <c r="C408" i="34"/>
  <c r="A409" i="34"/>
  <c r="C409" i="34"/>
  <c r="B409" i="34" s="1"/>
  <c r="C410" i="34"/>
  <c r="B410" i="34" s="1"/>
  <c r="A410" i="34" s="1"/>
  <c r="C411" i="34"/>
  <c r="B411" i="34" s="1"/>
  <c r="A411" i="34" s="1"/>
  <c r="B412" i="34"/>
  <c r="A412" i="34" s="1"/>
  <c r="C412" i="34"/>
  <c r="A413" i="34"/>
  <c r="C413" i="34"/>
  <c r="B413" i="34" s="1"/>
  <c r="C414" i="34"/>
  <c r="B414" i="34" s="1"/>
  <c r="A414" i="34" s="1"/>
  <c r="C415" i="34"/>
  <c r="B415" i="34" s="1"/>
  <c r="A415" i="34" s="1"/>
  <c r="B416" i="34"/>
  <c r="A416" i="34" s="1"/>
  <c r="C416" i="34"/>
  <c r="A417" i="34"/>
  <c r="C417" i="34"/>
  <c r="B417" i="34" s="1"/>
  <c r="C418" i="34"/>
  <c r="B418" i="34" s="1"/>
  <c r="A418" i="34" s="1"/>
  <c r="C419" i="34"/>
  <c r="B419" i="34" s="1"/>
  <c r="A419" i="34" s="1"/>
  <c r="B420" i="34"/>
  <c r="A420" i="34" s="1"/>
  <c r="C420" i="34"/>
  <c r="A421" i="34"/>
  <c r="C421" i="34"/>
  <c r="B421" i="34" s="1"/>
  <c r="C422" i="34"/>
  <c r="B422" i="34" s="1"/>
  <c r="A422" i="34" s="1"/>
  <c r="C423" i="34"/>
  <c r="B423" i="34" s="1"/>
  <c r="A423" i="34" s="1"/>
  <c r="B424" i="34"/>
  <c r="A424" i="34" s="1"/>
  <c r="C424" i="34"/>
  <c r="A425" i="34"/>
  <c r="C425" i="34"/>
  <c r="B425" i="34" s="1"/>
  <c r="C426" i="34"/>
  <c r="B426" i="34" s="1"/>
  <c r="A426" i="34" s="1"/>
  <c r="C427" i="34"/>
  <c r="B427" i="34" s="1"/>
  <c r="A427" i="34" s="1"/>
  <c r="B428" i="34"/>
  <c r="A428" i="34" s="1"/>
  <c r="C428" i="34"/>
  <c r="A429" i="34"/>
  <c r="C429" i="34"/>
  <c r="B429" i="34" s="1"/>
  <c r="C430" i="34"/>
  <c r="B430" i="34" s="1"/>
  <c r="A430" i="34" s="1"/>
  <c r="C431" i="34"/>
  <c r="B431" i="34" s="1"/>
  <c r="A431" i="34" s="1"/>
  <c r="B432" i="34"/>
  <c r="A432" i="34" s="1"/>
  <c r="C432" i="34"/>
  <c r="A433" i="34"/>
  <c r="C433" i="34"/>
  <c r="B433" i="34" s="1"/>
  <c r="C434" i="34"/>
  <c r="B434" i="34" s="1"/>
  <c r="A434" i="34" s="1"/>
  <c r="C435" i="34"/>
  <c r="B435" i="34" s="1"/>
  <c r="A435" i="34" s="1"/>
  <c r="B436" i="34"/>
  <c r="A436" i="34" s="1"/>
  <c r="C436" i="34"/>
  <c r="A437" i="34"/>
  <c r="C437" i="34"/>
  <c r="B437" i="34" s="1"/>
  <c r="C438" i="34"/>
  <c r="B438" i="34" s="1"/>
  <c r="A438" i="34" s="1"/>
  <c r="C439" i="34"/>
  <c r="B439" i="34" s="1"/>
  <c r="A439" i="34" s="1"/>
  <c r="B440" i="34"/>
  <c r="A440" i="34" s="1"/>
  <c r="C440" i="34"/>
  <c r="A441" i="34"/>
  <c r="C441" i="34"/>
  <c r="B441" i="34" s="1"/>
  <c r="C442" i="34"/>
  <c r="B442" i="34" s="1"/>
  <c r="A442" i="34" s="1"/>
  <c r="C443" i="34"/>
  <c r="B443" i="34" s="1"/>
  <c r="A443" i="34" s="1"/>
  <c r="B444" i="34"/>
  <c r="A444" i="34" s="1"/>
  <c r="C444" i="34"/>
  <c r="A445" i="34"/>
  <c r="C445" i="34"/>
  <c r="B445" i="34" s="1"/>
  <c r="C446" i="34"/>
  <c r="B446" i="34" s="1"/>
  <c r="A446" i="34" s="1"/>
  <c r="C447" i="34"/>
  <c r="B447" i="34" s="1"/>
  <c r="A447" i="34" s="1"/>
  <c r="B448" i="34"/>
  <c r="A448" i="34" s="1"/>
  <c r="C448" i="34"/>
  <c r="A449" i="34"/>
  <c r="C449" i="34"/>
  <c r="B449" i="34" s="1"/>
  <c r="C450" i="34"/>
  <c r="B450" i="34" s="1"/>
  <c r="A450" i="34" s="1"/>
  <c r="C451" i="34"/>
  <c r="B451" i="34" s="1"/>
  <c r="A451" i="34" s="1"/>
  <c r="B452" i="34"/>
  <c r="A452" i="34" s="1"/>
  <c r="C452" i="34"/>
  <c r="A453" i="34"/>
  <c r="C453" i="34"/>
  <c r="B453" i="34" s="1"/>
  <c r="C454" i="34"/>
  <c r="B454" i="34" s="1"/>
  <c r="A454" i="34" s="1"/>
  <c r="C455" i="34"/>
  <c r="B455" i="34" s="1"/>
  <c r="A455" i="34" s="1"/>
  <c r="B456" i="34"/>
  <c r="A456" i="34" s="1"/>
  <c r="C456" i="34"/>
  <c r="A457" i="34"/>
  <c r="C457" i="34"/>
  <c r="B457" i="34" s="1"/>
  <c r="C458" i="34"/>
  <c r="B458" i="34" s="1"/>
  <c r="A458" i="34" s="1"/>
  <c r="C459" i="34"/>
  <c r="B459" i="34" s="1"/>
  <c r="A459" i="34" s="1"/>
  <c r="B460" i="34"/>
  <c r="A460" i="34" s="1"/>
  <c r="C460" i="34"/>
  <c r="A461" i="34"/>
  <c r="C461" i="34"/>
  <c r="B461" i="34" s="1"/>
  <c r="C462" i="34"/>
  <c r="B462" i="34" s="1"/>
  <c r="A462" i="34" s="1"/>
  <c r="C463" i="34"/>
  <c r="B463" i="34" s="1"/>
  <c r="A463" i="34" s="1"/>
  <c r="B464" i="34"/>
  <c r="A464" i="34" s="1"/>
  <c r="C464" i="34"/>
  <c r="A465" i="34"/>
  <c r="C465" i="34"/>
  <c r="B465" i="34" s="1"/>
  <c r="C466" i="34"/>
  <c r="B466" i="34" s="1"/>
  <c r="A466" i="34" s="1"/>
  <c r="C467" i="34"/>
  <c r="B467" i="34" s="1"/>
  <c r="A467" i="34" s="1"/>
  <c r="B468" i="34"/>
  <c r="A468" i="34" s="1"/>
  <c r="C468" i="34"/>
  <c r="A469" i="34"/>
  <c r="C469" i="34"/>
  <c r="B469" i="34" s="1"/>
  <c r="C470" i="34"/>
  <c r="B470" i="34" s="1"/>
  <c r="A470" i="34" s="1"/>
  <c r="C471" i="34"/>
  <c r="B471" i="34" s="1"/>
  <c r="A471" i="34" s="1"/>
  <c r="B472" i="34"/>
  <c r="A472" i="34" s="1"/>
  <c r="C472" i="34"/>
  <c r="A473" i="34"/>
  <c r="C473" i="34"/>
  <c r="B473" i="34" s="1"/>
  <c r="C474" i="34"/>
  <c r="B474" i="34" s="1"/>
  <c r="A474" i="34" s="1"/>
  <c r="C475" i="34"/>
  <c r="B475" i="34" s="1"/>
  <c r="A475" i="34" s="1"/>
  <c r="B476" i="34"/>
  <c r="A476" i="34" s="1"/>
  <c r="C476" i="34"/>
  <c r="A477" i="34"/>
  <c r="C477" i="34"/>
  <c r="B477" i="34" s="1"/>
  <c r="C478" i="34"/>
  <c r="B478" i="34" s="1"/>
  <c r="A478" i="34" s="1"/>
  <c r="C479" i="34"/>
  <c r="B479" i="34" s="1"/>
  <c r="A479" i="34" s="1"/>
  <c r="B480" i="34"/>
  <c r="A480" i="34" s="1"/>
  <c r="C480" i="34"/>
  <c r="A481" i="34"/>
  <c r="C481" i="34"/>
  <c r="B481" i="34" s="1"/>
  <c r="C482" i="34"/>
  <c r="B482" i="34" s="1"/>
  <c r="A482" i="34" s="1"/>
  <c r="C483" i="34"/>
  <c r="B483" i="34" s="1"/>
  <c r="A483" i="34" s="1"/>
  <c r="B484" i="34"/>
  <c r="A484" i="34" s="1"/>
  <c r="C484" i="34"/>
  <c r="A485" i="34"/>
  <c r="C485" i="34"/>
  <c r="B485" i="34" s="1"/>
  <c r="C486" i="34"/>
  <c r="B486" i="34" s="1"/>
  <c r="A486" i="34" s="1"/>
  <c r="C487" i="34"/>
  <c r="B487" i="34" s="1"/>
  <c r="A487" i="34" s="1"/>
  <c r="B488" i="34"/>
  <c r="A488" i="34" s="1"/>
  <c r="C488" i="34"/>
  <c r="A489" i="34"/>
  <c r="C489" i="34"/>
  <c r="B489" i="34" s="1"/>
  <c r="C490" i="34"/>
  <c r="B490" i="34" s="1"/>
  <c r="A490" i="34" s="1"/>
  <c r="C491" i="34"/>
  <c r="B491" i="34" s="1"/>
  <c r="A491" i="34" s="1"/>
  <c r="B492" i="34"/>
  <c r="A492" i="34" s="1"/>
  <c r="C492" i="34"/>
  <c r="A493" i="34"/>
  <c r="C493" i="34"/>
  <c r="B493" i="34" s="1"/>
  <c r="C494" i="34"/>
  <c r="B494" i="34" s="1"/>
  <c r="A494" i="34" s="1"/>
  <c r="C495" i="34"/>
  <c r="B495" i="34" s="1"/>
  <c r="A495" i="34" s="1"/>
  <c r="B496" i="34"/>
  <c r="A496" i="34" s="1"/>
  <c r="C496" i="34"/>
  <c r="A497" i="34"/>
  <c r="C497" i="34"/>
  <c r="B497" i="34" s="1"/>
  <c r="C498" i="34"/>
  <c r="B498" i="34" s="1"/>
  <c r="A498" i="34" s="1"/>
  <c r="C499" i="34"/>
  <c r="B499" i="34" s="1"/>
  <c r="A499" i="34" s="1"/>
  <c r="A500" i="34"/>
  <c r="B500" i="34"/>
  <c r="C500" i="34"/>
  <c r="B501" i="34"/>
  <c r="A501" i="34" s="1"/>
  <c r="C501" i="34"/>
  <c r="C502" i="34"/>
  <c r="B502" i="34" s="1"/>
  <c r="A502" i="34" s="1"/>
  <c r="C503" i="34"/>
  <c r="B503" i="34" s="1"/>
  <c r="A503" i="34" s="1"/>
  <c r="B504" i="34"/>
  <c r="A504" i="34" s="1"/>
  <c r="C504" i="34"/>
  <c r="C505" i="34"/>
  <c r="B505" i="34" s="1"/>
  <c r="A505" i="34" s="1"/>
  <c r="C506" i="34"/>
  <c r="B506" i="34" s="1"/>
  <c r="A506" i="34" s="1"/>
  <c r="C507" i="34"/>
  <c r="B507" i="34" s="1"/>
  <c r="A507" i="34" s="1"/>
  <c r="A508" i="34"/>
  <c r="B508" i="34"/>
  <c r="C508" i="34"/>
  <c r="B509" i="34"/>
  <c r="A509" i="34" s="1"/>
  <c r="C509" i="34"/>
  <c r="C510" i="34"/>
  <c r="B510" i="34" s="1"/>
  <c r="A510" i="34" s="1"/>
  <c r="C511" i="34"/>
  <c r="B511" i="34" s="1"/>
  <c r="A511" i="34" s="1"/>
  <c r="B512" i="34"/>
  <c r="A512" i="34" s="1"/>
  <c r="C512" i="34"/>
  <c r="C513" i="34"/>
  <c r="B513" i="34" s="1"/>
  <c r="A513" i="34" s="1"/>
  <c r="C514" i="34"/>
  <c r="B514" i="34" s="1"/>
  <c r="A514" i="34" s="1"/>
  <c r="C515" i="34"/>
  <c r="B515" i="34" s="1"/>
  <c r="A515" i="34" s="1"/>
  <c r="A516" i="34"/>
  <c r="B516" i="34"/>
  <c r="C516" i="34"/>
  <c r="B517" i="34"/>
  <c r="A517" i="34" s="1"/>
  <c r="C517" i="34"/>
  <c r="C518" i="34"/>
  <c r="B518" i="34" s="1"/>
  <c r="A518" i="34" s="1"/>
  <c r="C519" i="34"/>
  <c r="B519" i="34" s="1"/>
  <c r="A519" i="34" s="1"/>
  <c r="B520" i="34"/>
  <c r="A520" i="34" s="1"/>
  <c r="C520" i="34"/>
  <c r="C521" i="34"/>
  <c r="B521" i="34" s="1"/>
  <c r="A521" i="34" s="1"/>
  <c r="C522" i="34"/>
  <c r="B522" i="34" s="1"/>
  <c r="A522" i="34" s="1"/>
  <c r="C523" i="34"/>
  <c r="B523" i="34" s="1"/>
  <c r="A523" i="34" s="1"/>
  <c r="A524" i="34"/>
  <c r="B524" i="34"/>
  <c r="C524" i="34"/>
  <c r="B525" i="34"/>
  <c r="A525" i="34" s="1"/>
  <c r="C525" i="34"/>
  <c r="C526" i="34"/>
  <c r="B526" i="34" s="1"/>
  <c r="A526" i="34" s="1"/>
  <c r="C527" i="34"/>
  <c r="B527" i="34" s="1"/>
  <c r="A527" i="34" s="1"/>
  <c r="B528" i="34"/>
  <c r="A528" i="34" s="1"/>
  <c r="C528" i="34"/>
  <c r="C529" i="34"/>
  <c r="B529" i="34" s="1"/>
  <c r="A529" i="34" s="1"/>
  <c r="C530" i="34"/>
  <c r="B530" i="34" s="1"/>
  <c r="A530" i="34" s="1"/>
  <c r="C531" i="34"/>
  <c r="B531" i="34" s="1"/>
  <c r="A531" i="34" s="1"/>
  <c r="A532" i="34"/>
  <c r="B532" i="34"/>
  <c r="C532" i="34"/>
  <c r="B533" i="34"/>
  <c r="A533" i="34" s="1"/>
  <c r="C533" i="34"/>
  <c r="C534" i="34"/>
  <c r="B534" i="34" s="1"/>
  <c r="A534" i="34" s="1"/>
  <c r="C535" i="34"/>
  <c r="B535" i="34" s="1"/>
  <c r="A535" i="34" s="1"/>
  <c r="B536" i="34"/>
  <c r="A536" i="34" s="1"/>
  <c r="C536" i="34"/>
  <c r="C537" i="34"/>
  <c r="B537" i="34" s="1"/>
  <c r="A537" i="34" s="1"/>
  <c r="C538" i="34"/>
  <c r="B538" i="34" s="1"/>
  <c r="A538" i="34" s="1"/>
  <c r="C539" i="34"/>
  <c r="B539" i="34" s="1"/>
  <c r="A539" i="34" s="1"/>
  <c r="A540" i="34"/>
  <c r="B540" i="34"/>
  <c r="C540" i="34"/>
  <c r="B541" i="34"/>
  <c r="A541" i="34" s="1"/>
  <c r="C541" i="34"/>
  <c r="C542" i="34"/>
  <c r="B542" i="34" s="1"/>
  <c r="A542" i="34" s="1"/>
  <c r="C543" i="34"/>
  <c r="B543" i="34" s="1"/>
  <c r="A543" i="34" s="1"/>
  <c r="B544" i="34"/>
  <c r="A544" i="34" s="1"/>
  <c r="C544" i="34"/>
  <c r="C545" i="34"/>
  <c r="B545" i="34" s="1"/>
  <c r="A545" i="34" s="1"/>
  <c r="C546" i="34"/>
  <c r="B546" i="34" s="1"/>
  <c r="A546" i="34" s="1"/>
  <c r="C547" i="34"/>
  <c r="B547" i="34" s="1"/>
  <c r="A547" i="34" s="1"/>
  <c r="A548" i="34"/>
  <c r="B548" i="34"/>
  <c r="C548" i="34"/>
  <c r="B549" i="34"/>
  <c r="A549" i="34" s="1"/>
  <c r="C549" i="34"/>
  <c r="C550" i="34"/>
  <c r="B550" i="34" s="1"/>
  <c r="A550" i="34" s="1"/>
  <c r="C551" i="34"/>
  <c r="B551" i="34" s="1"/>
  <c r="A551" i="34" s="1"/>
  <c r="B552" i="34"/>
  <c r="A552" i="34" s="1"/>
  <c r="C552" i="34"/>
  <c r="C553" i="34"/>
  <c r="B553" i="34" s="1"/>
  <c r="A553" i="34" s="1"/>
  <c r="C554" i="34"/>
  <c r="B554" i="34" s="1"/>
  <c r="A554" i="34" s="1"/>
  <c r="C555" i="34"/>
  <c r="B555" i="34" s="1"/>
  <c r="A555" i="34" s="1"/>
  <c r="A556" i="34"/>
  <c r="B556" i="34"/>
  <c r="C556" i="34"/>
  <c r="B557" i="34"/>
  <c r="A557" i="34" s="1"/>
  <c r="C557" i="34"/>
  <c r="C558" i="34"/>
  <c r="B558" i="34" s="1"/>
  <c r="A558" i="34" s="1"/>
  <c r="C559" i="34"/>
  <c r="B559" i="34" s="1"/>
  <c r="A559" i="34" s="1"/>
  <c r="C560" i="34"/>
  <c r="B560" i="34" s="1"/>
  <c r="A560" i="34" s="1"/>
  <c r="C561" i="34"/>
  <c r="B561" i="34" s="1"/>
  <c r="A561" i="34" s="1"/>
  <c r="B562" i="34"/>
  <c r="A562" i="34" s="1"/>
  <c r="C562" i="34"/>
  <c r="A563" i="34"/>
  <c r="C563" i="34"/>
  <c r="B563" i="34" s="1"/>
  <c r="C564" i="34"/>
  <c r="B564" i="34" s="1"/>
  <c r="A564" i="34" s="1"/>
  <c r="C565" i="34"/>
  <c r="B565" i="34" s="1"/>
  <c r="A565" i="34" s="1"/>
  <c r="B566" i="34"/>
  <c r="A566" i="34" s="1"/>
  <c r="C566" i="34"/>
  <c r="C567" i="34"/>
  <c r="B567" i="34" s="1"/>
  <c r="A567" i="34" s="1"/>
  <c r="C568" i="34"/>
  <c r="B568" i="34" s="1"/>
  <c r="A568" i="34" s="1"/>
  <c r="C569" i="34"/>
  <c r="B569" i="34" s="1"/>
  <c r="A569" i="34" s="1"/>
  <c r="B570" i="34"/>
  <c r="A570" i="34" s="1"/>
  <c r="C570" i="34"/>
  <c r="A571" i="34"/>
  <c r="C571" i="34"/>
  <c r="B571" i="34" s="1"/>
  <c r="C572" i="34"/>
  <c r="B572" i="34" s="1"/>
  <c r="A572" i="34" s="1"/>
  <c r="C573" i="34"/>
  <c r="B573" i="34" s="1"/>
  <c r="A573" i="34" s="1"/>
  <c r="B574" i="34"/>
  <c r="A574" i="34" s="1"/>
  <c r="C574" i="34"/>
  <c r="C575" i="34"/>
  <c r="B575" i="34" s="1"/>
  <c r="A575" i="34" s="1"/>
  <c r="C576" i="34"/>
  <c r="B576" i="34" s="1"/>
  <c r="A576" i="34" s="1"/>
  <c r="C577" i="34"/>
  <c r="B577" i="34" s="1"/>
  <c r="A577" i="34" s="1"/>
  <c r="B578" i="34"/>
  <c r="A578" i="34" s="1"/>
  <c r="C578" i="34"/>
  <c r="A579" i="34"/>
  <c r="C579" i="34"/>
  <c r="B579" i="34" s="1"/>
  <c r="C580" i="34"/>
  <c r="B580" i="34" s="1"/>
  <c r="A580" i="34" s="1"/>
  <c r="C581" i="34"/>
  <c r="B581" i="34" s="1"/>
  <c r="A581" i="34" s="1"/>
  <c r="B582" i="34"/>
  <c r="A582" i="34" s="1"/>
  <c r="C582" i="34"/>
  <c r="C583" i="34"/>
  <c r="B583" i="34" s="1"/>
  <c r="A583" i="34" s="1"/>
  <c r="C584" i="34"/>
  <c r="B584" i="34" s="1"/>
  <c r="A584" i="34" s="1"/>
  <c r="C585" i="34"/>
  <c r="B585" i="34" s="1"/>
  <c r="A585" i="34" s="1"/>
  <c r="B586" i="34"/>
  <c r="A586" i="34" s="1"/>
  <c r="C586" i="34"/>
  <c r="A587" i="34"/>
  <c r="C587" i="34"/>
  <c r="B587" i="34" s="1"/>
  <c r="C588" i="34"/>
  <c r="B588" i="34" s="1"/>
  <c r="A588" i="34" s="1"/>
  <c r="C589" i="34"/>
  <c r="B589" i="34" s="1"/>
  <c r="A589" i="34" s="1"/>
  <c r="B590" i="34"/>
  <c r="A590" i="34" s="1"/>
  <c r="C590" i="34"/>
  <c r="C591" i="34"/>
  <c r="B591" i="34" s="1"/>
  <c r="A591" i="34" s="1"/>
  <c r="C592" i="34"/>
  <c r="B592" i="34" s="1"/>
  <c r="A592" i="34" s="1"/>
  <c r="C593" i="34"/>
  <c r="B593" i="34" s="1"/>
  <c r="A593" i="34" s="1"/>
  <c r="B594" i="34"/>
  <c r="A594" i="34" s="1"/>
  <c r="C594" i="34"/>
  <c r="A595" i="34"/>
  <c r="C595" i="34"/>
  <c r="B595" i="34" s="1"/>
  <c r="C596" i="34"/>
  <c r="B596" i="34" s="1"/>
  <c r="A596" i="34" s="1"/>
  <c r="C597" i="34"/>
  <c r="B597" i="34" s="1"/>
  <c r="A597" i="34" s="1"/>
  <c r="B598" i="34"/>
  <c r="A598" i="34" s="1"/>
  <c r="C598" i="34"/>
  <c r="C599" i="34"/>
  <c r="B599" i="34" s="1"/>
  <c r="A599" i="34" s="1"/>
  <c r="C600" i="34"/>
  <c r="B600" i="34" s="1"/>
  <c r="A600" i="34" s="1"/>
  <c r="C601" i="34"/>
  <c r="B601" i="34" s="1"/>
  <c r="A601" i="34" s="1"/>
  <c r="B602" i="34"/>
  <c r="A602" i="34" s="1"/>
  <c r="C602" i="34"/>
  <c r="A603" i="34"/>
  <c r="C603" i="34"/>
  <c r="B603" i="34" s="1"/>
  <c r="C604" i="34"/>
  <c r="B604" i="34" s="1"/>
  <c r="A604" i="34" s="1"/>
  <c r="C605" i="34"/>
  <c r="B605" i="34" s="1"/>
  <c r="A605" i="34" s="1"/>
  <c r="B606" i="34"/>
  <c r="A606" i="34" s="1"/>
  <c r="C606" i="34"/>
  <c r="C607" i="34"/>
  <c r="B607" i="34" s="1"/>
  <c r="A607" i="34" s="1"/>
  <c r="C608" i="34"/>
  <c r="B608" i="34" s="1"/>
  <c r="A608" i="34" s="1"/>
  <c r="C609" i="34"/>
  <c r="B609" i="34" s="1"/>
  <c r="A609" i="34" s="1"/>
  <c r="B610" i="34"/>
  <c r="A610" i="34" s="1"/>
  <c r="C610" i="34"/>
  <c r="A611" i="34"/>
  <c r="C611" i="34"/>
  <c r="B611" i="34" s="1"/>
  <c r="C612" i="34"/>
  <c r="B612" i="34" s="1"/>
  <c r="A612" i="34" s="1"/>
  <c r="C613" i="34"/>
  <c r="B613" i="34" s="1"/>
  <c r="A613" i="34" s="1"/>
  <c r="B614" i="34"/>
  <c r="A614" i="34" s="1"/>
  <c r="C614" i="34"/>
  <c r="C615" i="34"/>
  <c r="B615" i="34" s="1"/>
  <c r="A615" i="34" s="1"/>
  <c r="C616" i="34"/>
  <c r="B616" i="34" s="1"/>
  <c r="A616" i="34" s="1"/>
  <c r="C617" i="34"/>
  <c r="B617" i="34" s="1"/>
  <c r="A617" i="34" s="1"/>
  <c r="B618" i="34"/>
  <c r="A618" i="34" s="1"/>
  <c r="C618" i="34"/>
  <c r="A619" i="34"/>
  <c r="C619" i="34"/>
  <c r="B619" i="34" s="1"/>
  <c r="C620" i="34"/>
  <c r="B620" i="34" s="1"/>
  <c r="A620" i="34" s="1"/>
  <c r="C621" i="34"/>
  <c r="B621" i="34" s="1"/>
  <c r="A621" i="34" s="1"/>
  <c r="B622" i="34"/>
  <c r="A622" i="34" s="1"/>
  <c r="C622" i="34"/>
  <c r="C623" i="34"/>
  <c r="B623" i="34" s="1"/>
  <c r="A623" i="34" s="1"/>
  <c r="C624" i="34"/>
  <c r="B624" i="34" s="1"/>
  <c r="A624" i="34" s="1"/>
  <c r="C625" i="34"/>
  <c r="B625" i="34" s="1"/>
  <c r="A625" i="34" s="1"/>
  <c r="B626" i="34"/>
  <c r="A626" i="34" s="1"/>
  <c r="C626" i="34"/>
  <c r="A627" i="34"/>
  <c r="C627" i="34"/>
  <c r="B627" i="34" s="1"/>
  <c r="C628" i="34"/>
  <c r="B628" i="34" s="1"/>
  <c r="A628" i="34" s="1"/>
  <c r="C629" i="34"/>
  <c r="B629" i="34" s="1"/>
  <c r="A629" i="34" s="1"/>
  <c r="B630" i="34"/>
  <c r="A630" i="34" s="1"/>
  <c r="C630" i="34"/>
  <c r="C631" i="34"/>
  <c r="B631" i="34" s="1"/>
  <c r="A631" i="34" s="1"/>
  <c r="C632" i="34"/>
  <c r="B632" i="34" s="1"/>
  <c r="A632" i="34" s="1"/>
  <c r="C633" i="34"/>
  <c r="B633" i="34" s="1"/>
  <c r="A633" i="34" s="1"/>
  <c r="B634" i="34"/>
  <c r="A634" i="34" s="1"/>
  <c r="C634" i="34"/>
  <c r="A635" i="34"/>
  <c r="C635" i="34"/>
  <c r="B635" i="34" s="1"/>
  <c r="C636" i="34"/>
  <c r="B636" i="34" s="1"/>
  <c r="A636" i="34" s="1"/>
  <c r="C637" i="34"/>
  <c r="B637" i="34" s="1"/>
  <c r="A637" i="34" s="1"/>
  <c r="B638" i="34"/>
  <c r="A638" i="34" s="1"/>
  <c r="C638" i="34"/>
  <c r="C639" i="34"/>
  <c r="B639" i="34" s="1"/>
  <c r="A639" i="34" s="1"/>
  <c r="C640" i="34"/>
  <c r="B640" i="34" s="1"/>
  <c r="A640" i="34" s="1"/>
  <c r="C641" i="34"/>
  <c r="B641" i="34" s="1"/>
  <c r="A641" i="34" s="1"/>
  <c r="B642" i="34"/>
  <c r="A642" i="34" s="1"/>
  <c r="C642" i="34"/>
  <c r="A643" i="34"/>
  <c r="C643" i="34"/>
  <c r="B643" i="34" s="1"/>
  <c r="C644" i="34"/>
  <c r="B644" i="34" s="1"/>
  <c r="A644" i="34" s="1"/>
  <c r="C645" i="34"/>
  <c r="B645" i="34" s="1"/>
  <c r="A645" i="34" s="1"/>
  <c r="B646" i="34"/>
  <c r="A646" i="34" s="1"/>
  <c r="C646" i="34"/>
  <c r="C647" i="34"/>
  <c r="B647" i="34" s="1"/>
  <c r="A647" i="34" s="1"/>
  <c r="C648" i="34"/>
  <c r="B648" i="34" s="1"/>
  <c r="A648" i="34" s="1"/>
  <c r="C649" i="34"/>
  <c r="B649" i="34" s="1"/>
  <c r="A649" i="34" s="1"/>
  <c r="B650" i="34"/>
  <c r="A650" i="34" s="1"/>
  <c r="C650" i="34"/>
  <c r="A651" i="34"/>
  <c r="C651" i="34"/>
  <c r="B651" i="34" s="1"/>
  <c r="C652" i="34"/>
  <c r="B652" i="34" s="1"/>
  <c r="A652" i="34" s="1"/>
  <c r="C653" i="34"/>
  <c r="B653" i="34" s="1"/>
  <c r="A653" i="34" s="1"/>
  <c r="B654" i="34"/>
  <c r="A654" i="34" s="1"/>
  <c r="C654" i="34"/>
  <c r="C655" i="34"/>
  <c r="B655" i="34" s="1"/>
  <c r="A655" i="34" s="1"/>
  <c r="C656" i="34"/>
  <c r="B656" i="34" s="1"/>
  <c r="A656" i="34" s="1"/>
  <c r="C657" i="34"/>
  <c r="B657" i="34" s="1"/>
  <c r="A657" i="34" s="1"/>
  <c r="B658" i="34"/>
  <c r="A658" i="34" s="1"/>
  <c r="C658" i="34"/>
  <c r="A659" i="34"/>
  <c r="C659" i="34"/>
  <c r="B659" i="34" s="1"/>
  <c r="C660" i="34"/>
  <c r="B660" i="34" s="1"/>
  <c r="A660" i="34" s="1"/>
  <c r="C661" i="34"/>
  <c r="B661" i="34" s="1"/>
  <c r="A661" i="34" s="1"/>
  <c r="B662" i="34"/>
  <c r="A662" i="34" s="1"/>
  <c r="C662" i="34"/>
  <c r="C663" i="34"/>
  <c r="B663" i="34" s="1"/>
  <c r="A663" i="34" s="1"/>
  <c r="C664" i="34"/>
  <c r="B664" i="34" s="1"/>
  <c r="A664" i="34" s="1"/>
  <c r="C665" i="34"/>
  <c r="B665" i="34" s="1"/>
  <c r="A665" i="34" s="1"/>
  <c r="B666" i="34"/>
  <c r="A666" i="34" s="1"/>
  <c r="C666" i="34"/>
  <c r="A667" i="34"/>
  <c r="C667" i="34"/>
  <c r="B667" i="34" s="1"/>
  <c r="C668" i="34"/>
  <c r="B668" i="34" s="1"/>
  <c r="A668" i="34" s="1"/>
  <c r="C669" i="34"/>
  <c r="B669" i="34" s="1"/>
  <c r="A669" i="34" s="1"/>
  <c r="B670" i="34"/>
  <c r="A670" i="34" s="1"/>
  <c r="C670" i="34"/>
  <c r="C671" i="34"/>
  <c r="B671" i="34" s="1"/>
  <c r="A671" i="34" s="1"/>
  <c r="C672" i="34"/>
  <c r="B672" i="34" s="1"/>
  <c r="A672" i="34" s="1"/>
  <c r="C673" i="34"/>
  <c r="B673" i="34" s="1"/>
  <c r="A673" i="34" s="1"/>
  <c r="B674" i="34"/>
  <c r="A674" i="34" s="1"/>
  <c r="C674" i="34"/>
  <c r="A675" i="34"/>
  <c r="C675" i="34"/>
  <c r="B675" i="34" s="1"/>
  <c r="C676" i="34"/>
  <c r="B676" i="34" s="1"/>
  <c r="A676" i="34" s="1"/>
  <c r="C677" i="34"/>
  <c r="B677" i="34" s="1"/>
  <c r="A677" i="34" s="1"/>
  <c r="B678" i="34"/>
  <c r="A678" i="34" s="1"/>
  <c r="C678" i="34"/>
  <c r="C679" i="34"/>
  <c r="B679" i="34" s="1"/>
  <c r="A679" i="34" s="1"/>
  <c r="C680" i="34"/>
  <c r="B680" i="34" s="1"/>
  <c r="A680" i="34" s="1"/>
  <c r="C681" i="34"/>
  <c r="B681" i="34" s="1"/>
  <c r="A681" i="34" s="1"/>
  <c r="B682" i="34"/>
  <c r="A682" i="34" s="1"/>
  <c r="C682" i="34"/>
  <c r="A683" i="34"/>
  <c r="C683" i="34"/>
  <c r="B683" i="34" s="1"/>
  <c r="C684" i="34"/>
  <c r="B684" i="34" s="1"/>
  <c r="A684" i="34" s="1"/>
  <c r="C685" i="34"/>
  <c r="B685" i="34" s="1"/>
  <c r="A685" i="34" s="1"/>
  <c r="A686" i="34"/>
  <c r="B686" i="34"/>
  <c r="C686" i="34"/>
  <c r="A687" i="34"/>
  <c r="B687" i="34"/>
  <c r="C687" i="34"/>
  <c r="C688" i="34"/>
  <c r="B688" i="34" s="1"/>
  <c r="A688" i="34" s="1"/>
  <c r="A689" i="34"/>
  <c r="C689" i="34"/>
  <c r="B689" i="34" s="1"/>
  <c r="B690" i="34"/>
  <c r="A690" i="34" s="1"/>
  <c r="C690" i="34"/>
  <c r="A691" i="34"/>
  <c r="C691" i="34"/>
  <c r="B691" i="34" s="1"/>
  <c r="C692" i="34"/>
  <c r="B692" i="34" s="1"/>
  <c r="A692" i="34" s="1"/>
  <c r="C693" i="34"/>
  <c r="B693" i="34" s="1"/>
  <c r="A693" i="34" s="1"/>
  <c r="A694" i="34"/>
  <c r="B694" i="34"/>
  <c r="C694" i="34"/>
  <c r="A695" i="34"/>
  <c r="B695" i="34"/>
  <c r="C695" i="34"/>
  <c r="C696" i="34"/>
  <c r="B696" i="34" s="1"/>
  <c r="A696" i="34" s="1"/>
  <c r="A697" i="34"/>
  <c r="C697" i="34"/>
  <c r="B697" i="34" s="1"/>
  <c r="B698" i="34"/>
  <c r="A698" i="34" s="1"/>
  <c r="C698" i="34"/>
  <c r="A699" i="34"/>
  <c r="C699" i="34"/>
  <c r="B699" i="34" s="1"/>
  <c r="C700" i="34"/>
  <c r="B700" i="34" s="1"/>
  <c r="A700" i="34" s="1"/>
  <c r="C701" i="34"/>
  <c r="B701" i="34" s="1"/>
  <c r="A701" i="34" s="1"/>
  <c r="A702" i="34"/>
  <c r="B702" i="34"/>
  <c r="C702" i="34"/>
  <c r="A703" i="34"/>
  <c r="B703" i="34"/>
  <c r="C703" i="34"/>
  <c r="C704" i="34"/>
  <c r="B704" i="34" s="1"/>
  <c r="A704" i="34" s="1"/>
  <c r="A705" i="34"/>
  <c r="C705" i="34"/>
  <c r="B705" i="34" s="1"/>
  <c r="B706" i="34"/>
  <c r="A706" i="34" s="1"/>
  <c r="C706" i="34"/>
  <c r="A707" i="34"/>
  <c r="C707" i="34"/>
  <c r="B707" i="34" s="1"/>
  <c r="C708" i="34"/>
  <c r="B708" i="34" s="1"/>
  <c r="A708" i="34" s="1"/>
  <c r="C709" i="34"/>
  <c r="B709" i="34" s="1"/>
  <c r="A709" i="34" s="1"/>
  <c r="A710" i="34"/>
  <c r="B710" i="34"/>
  <c r="C710" i="34"/>
  <c r="A711" i="34"/>
  <c r="B711" i="34"/>
  <c r="C711" i="34"/>
  <c r="C712" i="34"/>
  <c r="B712" i="34" s="1"/>
  <c r="A712" i="34" s="1"/>
  <c r="A713" i="34"/>
  <c r="C713" i="34"/>
  <c r="B713" i="34" s="1"/>
  <c r="B714" i="34"/>
  <c r="A714" i="34" s="1"/>
  <c r="C714" i="34"/>
  <c r="A715" i="34"/>
  <c r="C715" i="34"/>
  <c r="B715" i="34" s="1"/>
  <c r="C716" i="34"/>
  <c r="B716" i="34" s="1"/>
  <c r="A716" i="34" s="1"/>
  <c r="C717" i="34"/>
  <c r="B717" i="34" s="1"/>
  <c r="A717" i="34" s="1"/>
  <c r="A718" i="34"/>
  <c r="B718" i="34"/>
  <c r="C718" i="34"/>
  <c r="A719" i="34"/>
  <c r="B719" i="34"/>
  <c r="C719" i="34"/>
  <c r="C720" i="34"/>
  <c r="B720" i="34" s="1"/>
  <c r="A720" i="34" s="1"/>
  <c r="A721" i="34"/>
  <c r="C721" i="34"/>
  <c r="B721" i="34" s="1"/>
  <c r="B722" i="34"/>
  <c r="A722" i="34" s="1"/>
  <c r="C722" i="34"/>
  <c r="A723" i="34"/>
  <c r="C723" i="34"/>
  <c r="B723" i="34" s="1"/>
  <c r="C724" i="34"/>
  <c r="B724" i="34" s="1"/>
  <c r="A724" i="34" s="1"/>
  <c r="C725" i="34"/>
  <c r="B725" i="34" s="1"/>
  <c r="A725" i="34" s="1"/>
  <c r="A726" i="34"/>
  <c r="B726" i="34"/>
  <c r="C726" i="34"/>
  <c r="A727" i="34"/>
  <c r="B727" i="34"/>
  <c r="C727" i="34"/>
  <c r="C728" i="34"/>
  <c r="B728" i="34" s="1"/>
  <c r="A728" i="34" s="1"/>
  <c r="A729" i="34"/>
  <c r="C729" i="34"/>
  <c r="B729" i="34" s="1"/>
  <c r="B730" i="34"/>
  <c r="A730" i="34" s="1"/>
  <c r="C730" i="34"/>
  <c r="C731" i="34"/>
  <c r="B731" i="34" s="1"/>
  <c r="A731" i="34" s="1"/>
  <c r="B732" i="34"/>
  <c r="A732" i="34" s="1"/>
  <c r="C732" i="34"/>
  <c r="C733" i="34"/>
  <c r="B733" i="34" s="1"/>
  <c r="A733" i="34" s="1"/>
  <c r="A734" i="34"/>
  <c r="B734" i="34"/>
  <c r="C734" i="34"/>
  <c r="A735" i="34"/>
  <c r="B735" i="34"/>
  <c r="C735" i="34"/>
  <c r="C736" i="34"/>
  <c r="B736" i="34" s="1"/>
  <c r="A736" i="34" s="1"/>
  <c r="A737" i="34"/>
  <c r="C737" i="34"/>
  <c r="B737" i="34" s="1"/>
  <c r="B738" i="34"/>
  <c r="A738" i="34" s="1"/>
  <c r="C738" i="34"/>
  <c r="C739" i="34"/>
  <c r="B739" i="34" s="1"/>
  <c r="A739" i="34" s="1"/>
  <c r="B740" i="34"/>
  <c r="A740" i="34" s="1"/>
  <c r="C740" i="34"/>
  <c r="C741" i="34"/>
  <c r="B741" i="34" s="1"/>
  <c r="A741" i="34" s="1"/>
  <c r="A742" i="34"/>
  <c r="B742" i="34"/>
  <c r="C742" i="34"/>
  <c r="A743" i="34"/>
  <c r="B743" i="34"/>
  <c r="C743" i="34"/>
  <c r="C744" i="34"/>
  <c r="B744" i="34" s="1"/>
  <c r="A744" i="34" s="1"/>
  <c r="A745" i="34"/>
  <c r="C745" i="34"/>
  <c r="B745" i="34" s="1"/>
  <c r="B746" i="34"/>
  <c r="A746" i="34" s="1"/>
  <c r="C746" i="34"/>
  <c r="C747" i="34"/>
  <c r="B747" i="34" s="1"/>
  <c r="A747" i="34" s="1"/>
  <c r="B748" i="34"/>
  <c r="A748" i="34" s="1"/>
  <c r="C748" i="34"/>
  <c r="C749" i="34"/>
  <c r="B749" i="34" s="1"/>
  <c r="A749" i="34" s="1"/>
  <c r="A750" i="34"/>
  <c r="B750" i="34"/>
  <c r="C750" i="34"/>
  <c r="A751" i="34"/>
  <c r="B751" i="34"/>
  <c r="C751" i="34"/>
  <c r="C752" i="34"/>
  <c r="B752" i="34" s="1"/>
  <c r="A752" i="34" s="1"/>
  <c r="A753" i="34"/>
  <c r="C753" i="34"/>
  <c r="B753" i="34" s="1"/>
  <c r="B754" i="34"/>
  <c r="A754" i="34" s="1"/>
  <c r="C754" i="34"/>
  <c r="C755" i="34"/>
  <c r="B755" i="34" s="1"/>
  <c r="A755" i="34" s="1"/>
  <c r="B756" i="34"/>
  <c r="A756" i="34" s="1"/>
  <c r="C756" i="34"/>
  <c r="C757" i="34"/>
  <c r="B757" i="34" s="1"/>
  <c r="A757" i="34" s="1"/>
  <c r="A758" i="34"/>
  <c r="B758" i="34"/>
  <c r="C758" i="34"/>
  <c r="A759" i="34"/>
  <c r="B759" i="34"/>
  <c r="C759" i="34"/>
  <c r="C760" i="34"/>
  <c r="B760" i="34" s="1"/>
  <c r="A760" i="34" s="1"/>
  <c r="A761" i="34"/>
  <c r="C761" i="34"/>
  <c r="B761" i="34" s="1"/>
  <c r="B762" i="34"/>
  <c r="A762" i="34" s="1"/>
  <c r="C762" i="34"/>
  <c r="C763" i="34"/>
  <c r="B763" i="34" s="1"/>
  <c r="A763" i="34" s="1"/>
  <c r="B764" i="34"/>
  <c r="A764" i="34" s="1"/>
  <c r="C764" i="34"/>
  <c r="C765" i="34"/>
  <c r="B765" i="34" s="1"/>
  <c r="A765" i="34" s="1"/>
  <c r="A766" i="34"/>
  <c r="B766" i="34"/>
  <c r="C766" i="34"/>
  <c r="A767" i="34"/>
  <c r="B767" i="34"/>
  <c r="C767" i="34"/>
  <c r="C768" i="34"/>
  <c r="B768" i="34" s="1"/>
  <c r="A768" i="34" s="1"/>
  <c r="A769" i="34"/>
  <c r="C769" i="34"/>
  <c r="B769" i="34" s="1"/>
  <c r="B770" i="34"/>
  <c r="A770" i="34" s="1"/>
  <c r="C770" i="34"/>
  <c r="C771" i="34"/>
  <c r="B771" i="34" s="1"/>
  <c r="A771" i="34" s="1"/>
  <c r="B772" i="34"/>
  <c r="A772" i="34" s="1"/>
  <c r="C772" i="34"/>
  <c r="C773" i="34"/>
  <c r="B773" i="34" s="1"/>
  <c r="A773" i="34" s="1"/>
  <c r="A774" i="34"/>
  <c r="B774" i="34"/>
  <c r="C774" i="34"/>
  <c r="B775" i="34"/>
  <c r="A775" i="34" s="1"/>
  <c r="C775" i="34"/>
  <c r="C776" i="34"/>
  <c r="B776" i="34" s="1"/>
  <c r="A776" i="34" s="1"/>
  <c r="A777" i="34"/>
  <c r="C777" i="34"/>
  <c r="B777" i="34" s="1"/>
  <c r="B778" i="34"/>
  <c r="A778" i="34" s="1"/>
  <c r="C778" i="34"/>
  <c r="C779" i="34"/>
  <c r="B779" i="34" s="1"/>
  <c r="A779" i="34" s="1"/>
  <c r="B780" i="34"/>
  <c r="A780" i="34" s="1"/>
  <c r="C780" i="34"/>
  <c r="C781" i="34"/>
  <c r="B781" i="34" s="1"/>
  <c r="A781" i="34" s="1"/>
  <c r="A782" i="34"/>
  <c r="B782" i="34"/>
  <c r="C782" i="34"/>
  <c r="A783" i="34"/>
  <c r="B783" i="34"/>
  <c r="C783" i="34"/>
  <c r="C784" i="34"/>
  <c r="B784" i="34" s="1"/>
  <c r="A784" i="34" s="1"/>
  <c r="A785" i="34"/>
  <c r="C785" i="34"/>
  <c r="B785" i="34" s="1"/>
  <c r="B786" i="34"/>
  <c r="A786" i="34" s="1"/>
  <c r="C786" i="34"/>
  <c r="C787" i="34"/>
  <c r="B787" i="34" s="1"/>
  <c r="A787" i="34" s="1"/>
  <c r="B788" i="34"/>
  <c r="A788" i="34" s="1"/>
  <c r="C788" i="34"/>
  <c r="C789" i="34"/>
  <c r="B789" i="34" s="1"/>
  <c r="A789" i="34" s="1"/>
  <c r="A790" i="34"/>
  <c r="B790" i="34"/>
  <c r="C790" i="34"/>
  <c r="B791" i="34"/>
  <c r="A791" i="34" s="1"/>
  <c r="C791" i="34"/>
  <c r="C792" i="34"/>
  <c r="B792" i="34" s="1"/>
  <c r="A792" i="34" s="1"/>
  <c r="A793" i="34"/>
  <c r="C793" i="34"/>
  <c r="B793" i="34" s="1"/>
  <c r="B794" i="34"/>
  <c r="A794" i="34" s="1"/>
  <c r="C794" i="34"/>
  <c r="C795" i="34"/>
  <c r="B795" i="34" s="1"/>
  <c r="A795" i="34" s="1"/>
  <c r="B796" i="34"/>
  <c r="A796" i="34" s="1"/>
  <c r="C796" i="34"/>
  <c r="C797" i="34"/>
  <c r="B797" i="34" s="1"/>
  <c r="A797" i="34" s="1"/>
  <c r="A798" i="34"/>
  <c r="B798" i="34"/>
  <c r="C798" i="34"/>
  <c r="B799" i="34"/>
  <c r="A799" i="34" s="1"/>
  <c r="C799" i="34"/>
  <c r="C800" i="34"/>
  <c r="B800" i="34" s="1"/>
  <c r="A800" i="34" s="1"/>
  <c r="A801" i="34"/>
  <c r="C801" i="34"/>
  <c r="B801" i="34" s="1"/>
  <c r="B802" i="34"/>
  <c r="A802" i="34" s="1"/>
  <c r="C802" i="34"/>
  <c r="C803" i="34"/>
  <c r="B803" i="34" s="1"/>
  <c r="A803" i="34" s="1"/>
  <c r="B804" i="34"/>
  <c r="A804" i="34" s="1"/>
  <c r="C804" i="34"/>
  <c r="C805" i="34"/>
  <c r="B805" i="34" s="1"/>
  <c r="A805" i="34" s="1"/>
  <c r="A806" i="34"/>
  <c r="B806" i="34"/>
  <c r="C806" i="34"/>
  <c r="B807" i="34"/>
  <c r="A807" i="34" s="1"/>
  <c r="C807" i="34"/>
  <c r="B808" i="34"/>
  <c r="A808" i="34" s="1"/>
  <c r="C808" i="34"/>
  <c r="C809" i="34"/>
  <c r="B809" i="34" s="1"/>
  <c r="A809" i="34" s="1"/>
  <c r="C810" i="34"/>
  <c r="B810" i="34" s="1"/>
  <c r="A810" i="34" s="1"/>
  <c r="B811" i="34"/>
  <c r="A811" i="34" s="1"/>
  <c r="C811" i="34"/>
  <c r="B812" i="34"/>
  <c r="A812" i="34" s="1"/>
  <c r="C812" i="34"/>
  <c r="C813" i="34"/>
  <c r="B813" i="34" s="1"/>
  <c r="A813" i="34" s="1"/>
  <c r="C814" i="34"/>
  <c r="B814" i="34" s="1"/>
  <c r="A814" i="34" s="1"/>
  <c r="B815" i="34"/>
  <c r="A815" i="34" s="1"/>
  <c r="C815" i="34"/>
  <c r="B816" i="34"/>
  <c r="A816" i="34" s="1"/>
  <c r="C816" i="34"/>
  <c r="C817" i="34"/>
  <c r="B817" i="34" s="1"/>
  <c r="A817" i="34" s="1"/>
  <c r="C818" i="34"/>
  <c r="B818" i="34" s="1"/>
  <c r="A818" i="34" s="1"/>
  <c r="B819" i="34"/>
  <c r="A819" i="34" s="1"/>
  <c r="C819" i="34"/>
  <c r="B820" i="34"/>
  <c r="A820" i="34" s="1"/>
  <c r="C820" i="34"/>
  <c r="C821" i="34"/>
  <c r="B821" i="34" s="1"/>
  <c r="A821" i="34" s="1"/>
  <c r="C822" i="34"/>
  <c r="B822" i="34" s="1"/>
  <c r="A822" i="34" s="1"/>
  <c r="B823" i="34"/>
  <c r="A823" i="34" s="1"/>
  <c r="C823" i="34"/>
  <c r="B824" i="34"/>
  <c r="A824" i="34" s="1"/>
  <c r="C824" i="34"/>
  <c r="C825" i="34"/>
  <c r="B825" i="34" s="1"/>
  <c r="A825" i="34" s="1"/>
  <c r="C826" i="34"/>
  <c r="B826" i="34" s="1"/>
  <c r="A826" i="34" s="1"/>
  <c r="B827" i="34"/>
  <c r="A827" i="34" s="1"/>
  <c r="C827" i="34"/>
  <c r="B828" i="34"/>
  <c r="A828" i="34" s="1"/>
  <c r="C828" i="34"/>
  <c r="C829" i="34"/>
  <c r="B829" i="34" s="1"/>
  <c r="A829" i="34" s="1"/>
  <c r="C830" i="34"/>
  <c r="B830" i="34" s="1"/>
  <c r="A830" i="34" s="1"/>
  <c r="B831" i="34"/>
  <c r="A831" i="34" s="1"/>
  <c r="C831" i="34"/>
  <c r="B832" i="34"/>
  <c r="A832" i="34" s="1"/>
  <c r="C832" i="34"/>
  <c r="C833" i="34"/>
  <c r="B833" i="34" s="1"/>
  <c r="A833" i="34" s="1"/>
  <c r="C834" i="34"/>
  <c r="B834" i="34" s="1"/>
  <c r="A834" i="34" s="1"/>
  <c r="B835" i="34"/>
  <c r="A835" i="34" s="1"/>
  <c r="C835" i="34"/>
  <c r="B836" i="34"/>
  <c r="A836" i="34" s="1"/>
  <c r="C836" i="34"/>
  <c r="C837" i="34"/>
  <c r="B837" i="34" s="1"/>
  <c r="A837" i="34" s="1"/>
  <c r="C838" i="34"/>
  <c r="B838" i="34" s="1"/>
  <c r="A838" i="34" s="1"/>
  <c r="B839" i="34"/>
  <c r="A839" i="34" s="1"/>
  <c r="C839" i="34"/>
  <c r="B840" i="34"/>
  <c r="A840" i="34" s="1"/>
  <c r="C840" i="34"/>
  <c r="C841" i="34"/>
  <c r="B841" i="34" s="1"/>
  <c r="A841" i="34" s="1"/>
  <c r="C842" i="34"/>
  <c r="B842" i="34" s="1"/>
  <c r="A842" i="34" s="1"/>
  <c r="B843" i="34"/>
  <c r="A843" i="34" s="1"/>
  <c r="C843" i="34"/>
  <c r="B844" i="34"/>
  <c r="A844" i="34" s="1"/>
  <c r="C844" i="34"/>
  <c r="C845" i="34"/>
  <c r="B845" i="34" s="1"/>
  <c r="A845" i="34" s="1"/>
  <c r="C846" i="34"/>
  <c r="B846" i="34" s="1"/>
  <c r="A846" i="34" s="1"/>
  <c r="B847" i="34"/>
  <c r="A847" i="34" s="1"/>
  <c r="C847" i="34"/>
  <c r="B848" i="34"/>
  <c r="A848" i="34" s="1"/>
  <c r="C848" i="34"/>
  <c r="C849" i="34"/>
  <c r="B849" i="34" s="1"/>
  <c r="A849" i="34" s="1"/>
  <c r="C850" i="34"/>
  <c r="B850" i="34" s="1"/>
  <c r="A850" i="34" s="1"/>
  <c r="B851" i="34"/>
  <c r="A851" i="34" s="1"/>
  <c r="C851" i="34"/>
  <c r="B852" i="34"/>
  <c r="A852" i="34" s="1"/>
  <c r="C852" i="34"/>
  <c r="C853" i="34"/>
  <c r="B853" i="34" s="1"/>
  <c r="A853" i="34" s="1"/>
  <c r="C854" i="34"/>
  <c r="B854" i="34" s="1"/>
  <c r="A854" i="34" s="1"/>
  <c r="B855" i="34"/>
  <c r="A855" i="34" s="1"/>
  <c r="C855" i="34"/>
  <c r="B856" i="34"/>
  <c r="A856" i="34" s="1"/>
  <c r="C856" i="34"/>
  <c r="C857" i="34"/>
  <c r="B857" i="34" s="1"/>
  <c r="A857" i="34" s="1"/>
  <c r="C858" i="34"/>
  <c r="B858" i="34" s="1"/>
  <c r="A858" i="34" s="1"/>
  <c r="B859" i="34"/>
  <c r="A859" i="34" s="1"/>
  <c r="C859" i="34"/>
  <c r="B860" i="34"/>
  <c r="A860" i="34" s="1"/>
  <c r="C860" i="34"/>
  <c r="C861" i="34"/>
  <c r="B861" i="34" s="1"/>
  <c r="A861" i="34" s="1"/>
  <c r="C862" i="34"/>
  <c r="B862" i="34" s="1"/>
  <c r="A862" i="34" s="1"/>
  <c r="B863" i="34"/>
  <c r="A863" i="34" s="1"/>
  <c r="C863" i="34"/>
  <c r="B864" i="34"/>
  <c r="A864" i="34" s="1"/>
  <c r="C864" i="34"/>
  <c r="C865" i="34"/>
  <c r="B865" i="34" s="1"/>
  <c r="A865" i="34" s="1"/>
  <c r="C866" i="34"/>
  <c r="B866" i="34" s="1"/>
  <c r="A866" i="34" s="1"/>
  <c r="B867" i="34"/>
  <c r="A867" i="34" s="1"/>
  <c r="C867" i="34"/>
  <c r="B868" i="34"/>
  <c r="A868" i="34" s="1"/>
  <c r="C868" i="34"/>
  <c r="C869" i="34"/>
  <c r="B869" i="34" s="1"/>
  <c r="A869" i="34" s="1"/>
  <c r="C870" i="34"/>
  <c r="B870" i="34" s="1"/>
  <c r="A870" i="34" s="1"/>
  <c r="B871" i="34"/>
  <c r="A871" i="34" s="1"/>
  <c r="C871" i="34"/>
  <c r="B872" i="34"/>
  <c r="A872" i="34" s="1"/>
  <c r="C872" i="34"/>
  <c r="C873" i="34"/>
  <c r="B873" i="34" s="1"/>
  <c r="A873" i="34" s="1"/>
  <c r="C874" i="34"/>
  <c r="B874" i="34" s="1"/>
  <c r="A874" i="34" s="1"/>
  <c r="B875" i="34"/>
  <c r="A875" i="34" s="1"/>
  <c r="C875" i="34"/>
  <c r="B876" i="34"/>
  <c r="A876" i="34" s="1"/>
  <c r="C876" i="34"/>
  <c r="C877" i="34"/>
  <c r="B877" i="34" s="1"/>
  <c r="A877" i="34" s="1"/>
  <c r="C878" i="34"/>
  <c r="B878" i="34" s="1"/>
  <c r="A878" i="34" s="1"/>
  <c r="B879" i="34"/>
  <c r="A879" i="34" s="1"/>
  <c r="C879" i="34"/>
  <c r="B880" i="34"/>
  <c r="A880" i="34" s="1"/>
  <c r="C880" i="34"/>
  <c r="C881" i="34"/>
  <c r="B881" i="34" s="1"/>
  <c r="A881" i="34" s="1"/>
  <c r="C882" i="34"/>
  <c r="B882" i="34" s="1"/>
  <c r="A882" i="34" s="1"/>
  <c r="B883" i="34"/>
  <c r="A883" i="34" s="1"/>
  <c r="C883" i="34"/>
  <c r="B884" i="34"/>
  <c r="A884" i="34" s="1"/>
  <c r="C884" i="34"/>
  <c r="C885" i="34"/>
  <c r="B885" i="34" s="1"/>
  <c r="A885" i="34" s="1"/>
  <c r="C886" i="34"/>
  <c r="B886" i="34" s="1"/>
  <c r="A886" i="34" s="1"/>
  <c r="B887" i="34"/>
  <c r="A887" i="34" s="1"/>
  <c r="C887" i="34"/>
  <c r="B888" i="34"/>
  <c r="A888" i="34" s="1"/>
  <c r="C888" i="34"/>
  <c r="C889" i="34"/>
  <c r="B889" i="34" s="1"/>
  <c r="A889" i="34" s="1"/>
  <c r="C890" i="34"/>
  <c r="B890" i="34" s="1"/>
  <c r="A890" i="34" s="1"/>
  <c r="B891" i="34"/>
  <c r="A891" i="34" s="1"/>
  <c r="C891" i="34"/>
  <c r="B892" i="34"/>
  <c r="A892" i="34" s="1"/>
  <c r="C892" i="34"/>
  <c r="C893" i="34"/>
  <c r="B893" i="34" s="1"/>
  <c r="A893" i="34" s="1"/>
  <c r="C894" i="34"/>
  <c r="B894" i="34" s="1"/>
  <c r="A894" i="34" s="1"/>
  <c r="B895" i="34"/>
  <c r="A895" i="34" s="1"/>
  <c r="C895" i="34"/>
  <c r="B896" i="34"/>
  <c r="A896" i="34" s="1"/>
  <c r="C896" i="34"/>
  <c r="C897" i="34"/>
  <c r="B897" i="34" s="1"/>
  <c r="A897" i="34" s="1"/>
  <c r="C898" i="34"/>
  <c r="B898" i="34" s="1"/>
  <c r="A898" i="34" s="1"/>
  <c r="B899" i="34"/>
  <c r="A899" i="34" s="1"/>
  <c r="C899" i="34"/>
  <c r="B900" i="34"/>
  <c r="A900" i="34" s="1"/>
  <c r="C900" i="34"/>
  <c r="C901" i="34"/>
  <c r="B901" i="34" s="1"/>
  <c r="A901" i="34" s="1"/>
  <c r="C902" i="34"/>
  <c r="B902" i="34" s="1"/>
  <c r="A902" i="34" s="1"/>
  <c r="B903" i="34"/>
  <c r="A903" i="34" s="1"/>
  <c r="C903" i="34"/>
  <c r="B904" i="34"/>
  <c r="A904" i="34" s="1"/>
  <c r="C904" i="34"/>
  <c r="C905" i="34"/>
  <c r="B905" i="34" s="1"/>
  <c r="A905" i="34" s="1"/>
  <c r="C906" i="34"/>
  <c r="B906" i="34" s="1"/>
  <c r="A906" i="34" s="1"/>
  <c r="B907" i="34"/>
  <c r="A907" i="34" s="1"/>
  <c r="C907" i="34"/>
  <c r="B908" i="34"/>
  <c r="A908" i="34" s="1"/>
  <c r="C908" i="34"/>
  <c r="C909" i="34"/>
  <c r="B909" i="34" s="1"/>
  <c r="A909" i="34" s="1"/>
  <c r="C910" i="34"/>
  <c r="B910" i="34" s="1"/>
  <c r="A910" i="34" s="1"/>
  <c r="B911" i="34"/>
  <c r="A911" i="34" s="1"/>
  <c r="C911" i="34"/>
  <c r="B912" i="34"/>
  <c r="A912" i="34" s="1"/>
  <c r="C912" i="34"/>
  <c r="C913" i="34"/>
  <c r="B913" i="34" s="1"/>
  <c r="A913" i="34" s="1"/>
  <c r="C914" i="34"/>
  <c r="B914" i="34" s="1"/>
  <c r="A914" i="34" s="1"/>
  <c r="B915" i="34"/>
  <c r="A915" i="34" s="1"/>
  <c r="C915" i="34"/>
  <c r="B916" i="34"/>
  <c r="A916" i="34" s="1"/>
  <c r="C916" i="34"/>
  <c r="C917" i="34"/>
  <c r="B917" i="34" s="1"/>
  <c r="A917" i="34" s="1"/>
  <c r="C918" i="34"/>
  <c r="B918" i="34" s="1"/>
  <c r="A918" i="34" s="1"/>
  <c r="B919" i="34"/>
  <c r="A919" i="34" s="1"/>
  <c r="C919" i="34"/>
  <c r="B920" i="34"/>
  <c r="A920" i="34" s="1"/>
  <c r="C920" i="34"/>
  <c r="C921" i="34"/>
  <c r="B921" i="34" s="1"/>
  <c r="A921" i="34" s="1"/>
  <c r="C922" i="34"/>
  <c r="B922" i="34" s="1"/>
  <c r="A922" i="34" s="1"/>
  <c r="B923" i="34"/>
  <c r="A923" i="34" s="1"/>
  <c r="C923" i="34"/>
  <c r="B924" i="34"/>
  <c r="A924" i="34" s="1"/>
  <c r="C924" i="34"/>
  <c r="C925" i="34"/>
  <c r="B925" i="34" s="1"/>
  <c r="A925" i="34" s="1"/>
  <c r="C926" i="34"/>
  <c r="B926" i="34" s="1"/>
  <c r="A926" i="34" s="1"/>
  <c r="B927" i="34"/>
  <c r="A927" i="34" s="1"/>
  <c r="C927" i="34"/>
  <c r="B928" i="34"/>
  <c r="A928" i="34" s="1"/>
  <c r="C928" i="34"/>
  <c r="C929" i="34"/>
  <c r="B929" i="34" s="1"/>
  <c r="A929" i="34" s="1"/>
  <c r="C930" i="34"/>
  <c r="B930" i="34" s="1"/>
  <c r="A930" i="34" s="1"/>
  <c r="B931" i="34"/>
  <c r="A931" i="34" s="1"/>
  <c r="C931" i="34"/>
  <c r="B932" i="34"/>
  <c r="A932" i="34" s="1"/>
  <c r="C932" i="34"/>
  <c r="C933" i="34"/>
  <c r="B933" i="34" s="1"/>
  <c r="A933" i="34" s="1"/>
  <c r="C934" i="34"/>
  <c r="B934" i="34" s="1"/>
  <c r="A934" i="34" s="1"/>
  <c r="B935" i="34"/>
  <c r="A935" i="34" s="1"/>
  <c r="C935" i="34"/>
  <c r="B936" i="34"/>
  <c r="A936" i="34" s="1"/>
  <c r="C936" i="34"/>
  <c r="C937" i="34"/>
  <c r="B937" i="34" s="1"/>
  <c r="A937" i="34" s="1"/>
  <c r="C938" i="34"/>
  <c r="B938" i="34" s="1"/>
  <c r="A938" i="34" s="1"/>
  <c r="B939" i="34"/>
  <c r="A939" i="34" s="1"/>
  <c r="C939" i="34"/>
  <c r="B940" i="34"/>
  <c r="A940" i="34" s="1"/>
  <c r="C940" i="34"/>
  <c r="C941" i="34"/>
  <c r="B941" i="34" s="1"/>
  <c r="A941" i="34" s="1"/>
  <c r="C942" i="34"/>
  <c r="B942" i="34" s="1"/>
  <c r="A942" i="34" s="1"/>
  <c r="B943" i="34"/>
  <c r="A943" i="34" s="1"/>
  <c r="C943" i="34"/>
  <c r="B944" i="34"/>
  <c r="A944" i="34" s="1"/>
  <c r="C944" i="34"/>
  <c r="C945" i="34"/>
  <c r="B945" i="34" s="1"/>
  <c r="A945" i="34" s="1"/>
  <c r="C946" i="34"/>
  <c r="B946" i="34" s="1"/>
  <c r="A946" i="34" s="1"/>
  <c r="B947" i="34"/>
  <c r="A947" i="34" s="1"/>
  <c r="C947" i="34"/>
  <c r="B948" i="34"/>
  <c r="A948" i="34" s="1"/>
  <c r="C948" i="34"/>
  <c r="C949" i="34"/>
  <c r="B949" i="34" s="1"/>
  <c r="A949" i="34" s="1"/>
  <c r="C950" i="34"/>
  <c r="B950" i="34" s="1"/>
  <c r="A950" i="34" s="1"/>
  <c r="B951" i="34"/>
  <c r="A951" i="34" s="1"/>
  <c r="C951" i="34"/>
  <c r="B952" i="34"/>
  <c r="A952" i="34" s="1"/>
  <c r="C952" i="34"/>
  <c r="C953" i="34"/>
  <c r="B953" i="34" s="1"/>
  <c r="A953" i="34" s="1"/>
  <c r="C954" i="34"/>
  <c r="B954" i="34" s="1"/>
  <c r="A954" i="34" s="1"/>
  <c r="B955" i="34"/>
  <c r="A955" i="34" s="1"/>
  <c r="C955" i="34"/>
  <c r="B956" i="34"/>
  <c r="A956" i="34" s="1"/>
  <c r="C956" i="34"/>
  <c r="C957" i="34"/>
  <c r="B957" i="34" s="1"/>
  <c r="A957" i="34" s="1"/>
  <c r="C958" i="34"/>
  <c r="B958" i="34" s="1"/>
  <c r="A958" i="34" s="1"/>
  <c r="B959" i="34"/>
  <c r="A959" i="34" s="1"/>
  <c r="C959" i="34"/>
  <c r="B960" i="34"/>
  <c r="A960" i="34" s="1"/>
  <c r="C960" i="34"/>
  <c r="C961" i="34"/>
  <c r="B961" i="34" s="1"/>
  <c r="A961" i="34" s="1"/>
  <c r="C962" i="34"/>
  <c r="B962" i="34" s="1"/>
  <c r="A962" i="34" s="1"/>
  <c r="B963" i="34"/>
  <c r="A963" i="34" s="1"/>
  <c r="C963" i="34"/>
  <c r="B964" i="34"/>
  <c r="A964" i="34" s="1"/>
  <c r="C964" i="34"/>
  <c r="C965" i="34"/>
  <c r="B965" i="34" s="1"/>
  <c r="A965" i="34" s="1"/>
  <c r="C966" i="34"/>
  <c r="B966" i="34" s="1"/>
  <c r="A966" i="34" s="1"/>
  <c r="B967" i="34"/>
  <c r="A967" i="34" s="1"/>
  <c r="C967" i="34"/>
  <c r="B968" i="34"/>
  <c r="A968" i="34" s="1"/>
  <c r="C968" i="34"/>
  <c r="C969" i="34"/>
  <c r="B969" i="34" s="1"/>
  <c r="A969" i="34" s="1"/>
  <c r="C970" i="34"/>
  <c r="B970" i="34" s="1"/>
  <c r="A970" i="34" s="1"/>
  <c r="B971" i="34"/>
  <c r="A971" i="34" s="1"/>
  <c r="C971" i="34"/>
  <c r="B972" i="34"/>
  <c r="A972" i="34" s="1"/>
  <c r="C972" i="34"/>
  <c r="C973" i="34"/>
  <c r="B973" i="34" s="1"/>
  <c r="A973" i="34" s="1"/>
  <c r="C974" i="34"/>
  <c r="B974" i="34" s="1"/>
  <c r="A974" i="34" s="1"/>
  <c r="B975" i="34"/>
  <c r="A975" i="34" s="1"/>
  <c r="C975" i="34"/>
  <c r="B976" i="34"/>
  <c r="A976" i="34" s="1"/>
  <c r="C976" i="34"/>
  <c r="C977" i="34"/>
  <c r="B977" i="34" s="1"/>
  <c r="A977" i="34" s="1"/>
  <c r="C978" i="34"/>
  <c r="B978" i="34" s="1"/>
  <c r="A978" i="34" s="1"/>
  <c r="B979" i="34"/>
  <c r="A979" i="34" s="1"/>
  <c r="C979" i="34"/>
  <c r="B980" i="34"/>
  <c r="A980" i="34" s="1"/>
  <c r="C980" i="34"/>
  <c r="C981" i="34"/>
  <c r="B981" i="34" s="1"/>
  <c r="A981" i="34" s="1"/>
  <c r="C982" i="34"/>
  <c r="B982" i="34" s="1"/>
  <c r="A982" i="34" s="1"/>
  <c r="B983" i="34"/>
  <c r="A983" i="34" s="1"/>
  <c r="C983" i="34"/>
  <c r="B984" i="34"/>
  <c r="A984" i="34" s="1"/>
  <c r="C984" i="34"/>
  <c r="C985" i="34"/>
  <c r="B985" i="34" s="1"/>
  <c r="A985" i="34" s="1"/>
  <c r="C986" i="34"/>
  <c r="B986" i="34" s="1"/>
  <c r="A986" i="34" s="1"/>
  <c r="B987" i="34"/>
  <c r="A987" i="34" s="1"/>
  <c r="C987" i="34"/>
  <c r="B988" i="34"/>
  <c r="A988" i="34" s="1"/>
  <c r="C988" i="34"/>
  <c r="C989" i="34"/>
  <c r="B989" i="34" s="1"/>
  <c r="A989" i="34" s="1"/>
  <c r="C990" i="34"/>
  <c r="B990" i="34" s="1"/>
  <c r="A990" i="34" s="1"/>
  <c r="B991" i="34"/>
  <c r="A991" i="34" s="1"/>
  <c r="C991" i="34"/>
  <c r="B992" i="34"/>
  <c r="A992" i="34" s="1"/>
  <c r="C992" i="34"/>
  <c r="C993" i="34"/>
  <c r="B993" i="34" s="1"/>
  <c r="A993" i="34" s="1"/>
  <c r="C994" i="34"/>
  <c r="B994" i="34" s="1"/>
  <c r="A994" i="34" s="1"/>
  <c r="B995" i="34"/>
  <c r="A995" i="34" s="1"/>
  <c r="C995" i="34"/>
  <c r="B996" i="34"/>
  <c r="A996" i="34" s="1"/>
  <c r="C996" i="34"/>
  <c r="C997" i="34"/>
  <c r="B997" i="34" s="1"/>
  <c r="A997" i="34" s="1"/>
  <c r="C998" i="34"/>
  <c r="B998" i="34" s="1"/>
  <c r="A998" i="34" s="1"/>
  <c r="B999" i="34"/>
  <c r="A999" i="34" s="1"/>
  <c r="C999" i="34"/>
  <c r="B1000" i="34"/>
  <c r="A1000" i="34" s="1"/>
  <c r="C1000" i="34"/>
  <c r="C1001" i="34"/>
  <c r="B1001" i="34" s="1"/>
  <c r="A1001" i="34" s="1"/>
  <c r="C1002" i="34"/>
  <c r="B1002" i="34" s="1"/>
  <c r="A1002" i="34" s="1"/>
  <c r="B1003" i="34"/>
  <c r="A1003" i="34" s="1"/>
  <c r="C1003" i="34"/>
  <c r="B1004" i="34"/>
  <c r="A1004" i="34" s="1"/>
  <c r="C1004" i="34"/>
  <c r="C1005" i="34"/>
  <c r="B1005" i="34" s="1"/>
  <c r="A1005" i="34" s="1"/>
  <c r="C1006" i="34"/>
  <c r="B1006" i="34" s="1"/>
  <c r="A1006" i="34" s="1"/>
  <c r="B1007" i="34"/>
  <c r="A1007" i="34" s="1"/>
  <c r="C1007" i="34"/>
  <c r="B1008" i="34"/>
  <c r="A1008" i="34" s="1"/>
  <c r="C1008" i="34"/>
  <c r="C1009" i="34"/>
  <c r="B1009" i="34" s="1"/>
  <c r="A1009" i="34" s="1"/>
  <c r="C1010" i="34"/>
  <c r="B1010" i="34" s="1"/>
  <c r="A1010" i="34" s="1"/>
  <c r="B1011" i="34"/>
  <c r="A1011" i="34" s="1"/>
  <c r="C1011" i="34"/>
  <c r="B1012" i="34"/>
  <c r="A1012" i="34" s="1"/>
  <c r="C1012" i="34"/>
  <c r="C1013" i="34"/>
  <c r="B1013" i="34" s="1"/>
  <c r="A1013" i="34" s="1"/>
  <c r="C1014" i="34"/>
  <c r="B1014" i="34" s="1"/>
  <c r="A1014" i="34" s="1"/>
  <c r="B1015" i="34"/>
  <c r="A1015" i="34" s="1"/>
  <c r="C1015" i="34"/>
  <c r="B1016" i="34"/>
  <c r="A1016" i="34" s="1"/>
  <c r="C1016" i="34"/>
  <c r="C1017" i="34"/>
  <c r="B1017" i="34" s="1"/>
  <c r="A1017" i="34" s="1"/>
  <c r="C1018" i="34"/>
  <c r="B1018" i="34" s="1"/>
  <c r="A1018" i="34" s="1"/>
  <c r="B1019" i="34"/>
  <c r="A1019" i="34" s="1"/>
  <c r="C1019" i="34"/>
  <c r="B1020" i="34"/>
  <c r="A1020" i="34" s="1"/>
  <c r="C1020" i="34"/>
  <c r="C1021" i="34"/>
  <c r="B1021" i="34" s="1"/>
  <c r="A1021" i="34" s="1"/>
  <c r="C1022" i="34"/>
  <c r="B1022" i="34" s="1"/>
  <c r="A1022" i="34" s="1"/>
  <c r="B1023" i="34"/>
  <c r="A1023" i="34" s="1"/>
  <c r="C1023" i="34"/>
  <c r="B1024" i="34"/>
  <c r="A1024" i="34" s="1"/>
  <c r="C1024" i="34"/>
  <c r="C1025" i="34"/>
  <c r="B1025" i="34" s="1"/>
  <c r="A1025" i="34" s="1"/>
  <c r="C1026" i="34"/>
  <c r="B1026" i="34" s="1"/>
  <c r="A1026" i="34" s="1"/>
  <c r="B1027" i="34"/>
  <c r="A1027" i="34" s="1"/>
  <c r="C1027" i="34"/>
  <c r="B1028" i="34"/>
  <c r="A1028" i="34" s="1"/>
  <c r="C1028" i="34"/>
  <c r="C1029" i="34"/>
  <c r="B1029" i="34" s="1"/>
  <c r="A1029" i="34" s="1"/>
  <c r="C1030" i="34"/>
  <c r="B1030" i="34" s="1"/>
  <c r="A1030" i="34" s="1"/>
  <c r="B1031" i="34"/>
  <c r="A1031" i="34" s="1"/>
  <c r="C1031" i="34"/>
  <c r="B1032" i="34"/>
  <c r="A1032" i="34" s="1"/>
  <c r="C1032" i="34"/>
  <c r="C1033" i="34"/>
  <c r="B1033" i="34" s="1"/>
  <c r="A1033" i="34" s="1"/>
  <c r="C1034" i="34"/>
  <c r="B1034" i="34" s="1"/>
  <c r="A1034" i="34" s="1"/>
  <c r="B1035" i="34"/>
  <c r="A1035" i="34" s="1"/>
  <c r="C1035" i="34"/>
  <c r="B1036" i="34"/>
  <c r="A1036" i="34" s="1"/>
  <c r="C1036" i="34"/>
  <c r="B1037" i="34"/>
  <c r="A1037" i="34" s="1"/>
  <c r="C1037" i="34"/>
  <c r="A1038" i="34"/>
  <c r="C1038" i="34"/>
  <c r="B1038" i="34" s="1"/>
  <c r="A1039" i="34"/>
  <c r="B1039" i="34"/>
  <c r="C1039" i="34"/>
  <c r="B1040" i="34"/>
  <c r="A1040" i="34" s="1"/>
  <c r="C1040" i="34"/>
  <c r="B1041" i="34"/>
  <c r="A1041" i="34" s="1"/>
  <c r="C1041" i="34"/>
  <c r="A1042" i="34"/>
  <c r="C1042" i="34"/>
  <c r="B1042" i="34" s="1"/>
  <c r="A1043" i="34"/>
  <c r="B1043" i="34"/>
  <c r="C1043" i="34"/>
  <c r="B1044" i="34"/>
  <c r="A1044" i="34" s="1"/>
  <c r="C1044" i="34"/>
  <c r="B1045" i="34"/>
  <c r="A1045" i="34" s="1"/>
  <c r="C1045" i="34"/>
  <c r="A1046" i="34"/>
  <c r="C1046" i="34"/>
  <c r="B1046" i="34" s="1"/>
  <c r="A1047" i="34"/>
  <c r="B1047" i="34"/>
  <c r="C1047" i="34"/>
  <c r="B1048" i="34"/>
  <c r="A1048" i="34" s="1"/>
  <c r="C1048" i="34"/>
  <c r="B1049" i="34"/>
  <c r="A1049" i="34" s="1"/>
  <c r="C1049" i="34"/>
  <c r="A1050" i="34"/>
  <c r="C1050" i="34"/>
  <c r="B1050" i="34" s="1"/>
  <c r="A1051" i="34"/>
  <c r="B1051" i="34"/>
  <c r="C1051" i="34"/>
  <c r="B1052" i="34"/>
  <c r="A1052" i="34" s="1"/>
  <c r="C1052" i="34"/>
  <c r="B1053" i="34"/>
  <c r="A1053" i="34" s="1"/>
  <c r="C1053" i="34"/>
  <c r="A1054" i="34"/>
  <c r="C1054" i="34"/>
  <c r="B1054" i="34" s="1"/>
  <c r="A1055" i="34"/>
  <c r="B1055" i="34"/>
  <c r="C1055" i="34"/>
  <c r="B1056" i="34"/>
  <c r="A1056" i="34" s="1"/>
  <c r="C1056" i="34"/>
  <c r="B1057" i="34"/>
  <c r="A1057" i="34" s="1"/>
  <c r="C1057" i="34"/>
  <c r="A1058" i="34"/>
  <c r="C1058" i="34"/>
  <c r="B1058" i="34" s="1"/>
  <c r="A1059" i="34"/>
  <c r="B1059" i="34"/>
  <c r="C1059" i="34"/>
  <c r="B1060" i="34"/>
  <c r="A1060" i="34" s="1"/>
  <c r="C1060" i="34"/>
  <c r="B1061" i="34"/>
  <c r="A1061" i="34" s="1"/>
  <c r="C1061" i="34"/>
  <c r="A1062" i="34"/>
  <c r="C1062" i="34"/>
  <c r="B1062" i="34" s="1"/>
  <c r="A1063" i="34"/>
  <c r="B1063" i="34"/>
  <c r="C1063" i="34"/>
  <c r="B1064" i="34"/>
  <c r="A1064" i="34" s="1"/>
  <c r="C1064" i="34"/>
  <c r="B1065" i="34"/>
  <c r="A1065" i="34" s="1"/>
  <c r="C1065" i="34"/>
  <c r="A1066" i="34"/>
  <c r="C1066" i="34"/>
  <c r="B1066" i="34" s="1"/>
  <c r="A1067" i="34"/>
  <c r="B1067" i="34"/>
  <c r="C1067" i="34"/>
  <c r="B1068" i="34"/>
  <c r="A1068" i="34" s="1"/>
  <c r="C1068" i="34"/>
  <c r="B1069" i="34"/>
  <c r="A1069" i="34" s="1"/>
  <c r="C1069" i="34"/>
  <c r="A1070" i="34"/>
  <c r="C1070" i="34"/>
  <c r="B1070" i="34" s="1"/>
  <c r="A1071" i="34"/>
  <c r="B1071" i="34"/>
  <c r="C1071" i="34"/>
  <c r="B1072" i="34"/>
  <c r="A1072" i="34" s="1"/>
  <c r="C1072" i="34"/>
  <c r="B1073" i="34"/>
  <c r="A1073" i="34" s="1"/>
  <c r="C1073" i="34"/>
  <c r="A1074" i="34"/>
  <c r="C1074" i="34"/>
  <c r="B1074" i="34" s="1"/>
  <c r="A1075" i="34"/>
  <c r="B1075" i="34"/>
  <c r="C1075" i="34"/>
  <c r="B1076" i="34"/>
  <c r="A1076" i="34" s="1"/>
  <c r="C1076" i="34"/>
  <c r="B1077" i="34"/>
  <c r="A1077" i="34" s="1"/>
  <c r="C1077" i="34"/>
  <c r="A1078" i="34"/>
  <c r="C1078" i="34"/>
  <c r="B1078" i="34" s="1"/>
  <c r="A1079" i="34"/>
  <c r="B1079" i="34"/>
  <c r="C1079" i="34"/>
  <c r="B1080" i="34"/>
  <c r="A1080" i="34" s="1"/>
  <c r="C1080" i="34"/>
  <c r="B1081" i="34"/>
  <c r="A1081" i="34" s="1"/>
  <c r="C1081" i="34"/>
  <c r="A1082" i="34"/>
  <c r="C1082" i="34"/>
  <c r="B1082" i="34" s="1"/>
  <c r="A1083" i="34"/>
  <c r="B1083" i="34"/>
  <c r="C1083" i="34"/>
  <c r="B1084" i="34"/>
  <c r="A1084" i="34" s="1"/>
  <c r="C1084" i="34"/>
  <c r="B1085" i="34"/>
  <c r="A1085" i="34" s="1"/>
  <c r="C1085" i="34"/>
  <c r="A1086" i="34"/>
  <c r="C1086" i="34"/>
  <c r="B1086" i="34" s="1"/>
  <c r="A1087" i="34"/>
  <c r="B1087" i="34"/>
  <c r="C1087" i="34"/>
  <c r="B1088" i="34"/>
  <c r="A1088" i="34" s="1"/>
  <c r="C1088" i="34"/>
  <c r="B1089" i="34"/>
  <c r="A1089" i="34" s="1"/>
  <c r="C1089" i="34"/>
  <c r="A1090" i="34"/>
  <c r="C1090" i="34"/>
  <c r="B1090" i="34" s="1"/>
  <c r="A1091" i="34"/>
  <c r="B1091" i="34"/>
  <c r="C1091" i="34"/>
  <c r="B1092" i="34"/>
  <c r="A1092" i="34" s="1"/>
  <c r="C1092" i="34"/>
  <c r="B1093" i="34"/>
  <c r="A1093" i="34" s="1"/>
  <c r="C1093" i="34"/>
  <c r="A1094" i="34"/>
  <c r="C1094" i="34"/>
  <c r="B1094" i="34" s="1"/>
  <c r="A1095" i="34"/>
  <c r="B1095" i="34"/>
  <c r="C1095" i="34"/>
  <c r="B1096" i="34"/>
  <c r="A1096" i="34" s="1"/>
  <c r="C1096" i="34"/>
  <c r="B1097" i="34"/>
  <c r="A1097" i="34" s="1"/>
  <c r="C1097" i="34"/>
  <c r="A1098" i="34"/>
  <c r="C1098" i="34"/>
  <c r="B1098" i="34" s="1"/>
  <c r="A1099" i="34"/>
  <c r="B1099" i="34"/>
  <c r="C1099" i="34"/>
  <c r="B1100" i="34"/>
  <c r="A1100" i="34" s="1"/>
  <c r="C1100" i="34"/>
  <c r="B1101" i="34"/>
  <c r="A1101" i="34" s="1"/>
  <c r="C1101" i="34"/>
  <c r="A1102" i="34"/>
  <c r="C1102" i="34"/>
  <c r="B1102" i="34" s="1"/>
  <c r="A1103" i="34"/>
  <c r="B1103" i="34"/>
  <c r="C1103" i="34"/>
  <c r="B1104" i="34"/>
  <c r="A1104" i="34" s="1"/>
  <c r="C1104" i="34"/>
  <c r="B1105" i="34"/>
  <c r="A1105" i="34" s="1"/>
  <c r="C1105" i="34"/>
  <c r="A1106" i="34"/>
  <c r="C1106" i="34"/>
  <c r="B1106" i="34" s="1"/>
  <c r="A1107" i="34"/>
  <c r="B1107" i="34"/>
  <c r="C1107" i="34"/>
  <c r="B1108" i="34"/>
  <c r="A1108" i="34" s="1"/>
  <c r="C1108" i="34"/>
  <c r="B1109" i="34"/>
  <c r="A1109" i="34" s="1"/>
  <c r="C1109" i="34"/>
  <c r="A1110" i="34"/>
  <c r="C1110" i="34"/>
  <c r="B1110" i="34" s="1"/>
  <c r="A1111" i="34"/>
  <c r="B1111" i="34"/>
  <c r="C1111" i="34"/>
  <c r="B1112" i="34"/>
  <c r="A1112" i="34" s="1"/>
  <c r="C1112" i="34"/>
  <c r="B1113" i="34"/>
  <c r="A1113" i="34" s="1"/>
  <c r="C1113" i="34"/>
  <c r="A1114" i="34"/>
  <c r="C1114" i="34"/>
  <c r="B1114" i="34" s="1"/>
  <c r="A1115" i="34"/>
  <c r="B1115" i="34"/>
  <c r="C1115" i="34"/>
  <c r="B1116" i="34"/>
  <c r="A1116" i="34" s="1"/>
  <c r="C1116" i="34"/>
  <c r="B1117" i="34"/>
  <c r="A1117" i="34" s="1"/>
  <c r="C1117" i="34"/>
  <c r="A1118" i="34"/>
  <c r="C1118" i="34"/>
  <c r="B1118" i="34" s="1"/>
  <c r="A1119" i="34"/>
  <c r="B1119" i="34"/>
  <c r="C1119" i="34"/>
  <c r="B1120" i="34"/>
  <c r="A1120" i="34" s="1"/>
  <c r="C1120" i="34"/>
  <c r="B1121" i="34"/>
  <c r="A1121" i="34" s="1"/>
  <c r="C1121" i="34"/>
  <c r="A1122" i="34"/>
  <c r="C1122" i="34"/>
  <c r="B1122" i="34" s="1"/>
  <c r="A1123" i="34"/>
  <c r="B1123" i="34"/>
  <c r="C1123" i="34"/>
  <c r="B1124" i="34"/>
  <c r="A1124" i="34" s="1"/>
  <c r="C1124" i="34"/>
  <c r="B1125" i="34"/>
  <c r="A1125" i="34" s="1"/>
  <c r="C1125" i="34"/>
  <c r="A1126" i="34"/>
  <c r="C1126" i="34"/>
  <c r="B1126" i="34" s="1"/>
  <c r="A1127" i="34"/>
  <c r="B1127" i="34"/>
  <c r="C1127" i="34"/>
  <c r="B1128" i="34"/>
  <c r="A1128" i="34" s="1"/>
  <c r="C1128" i="34"/>
  <c r="B1129" i="34"/>
  <c r="A1129" i="34" s="1"/>
  <c r="C1129" i="34"/>
  <c r="A1130" i="34"/>
  <c r="C1130" i="34"/>
  <c r="B1130" i="34" s="1"/>
  <c r="A1131" i="34"/>
  <c r="B1131" i="34"/>
  <c r="C1131" i="34"/>
  <c r="B1132" i="34"/>
  <c r="A1132" i="34" s="1"/>
  <c r="C1132" i="34"/>
  <c r="B1133" i="34"/>
  <c r="A1133" i="34" s="1"/>
  <c r="C1133" i="34"/>
  <c r="A1134" i="34"/>
  <c r="C1134" i="34"/>
  <c r="B1134" i="34" s="1"/>
  <c r="A1135" i="34"/>
  <c r="B1135" i="34"/>
  <c r="C1135" i="34"/>
  <c r="B1136" i="34"/>
  <c r="A1136" i="34" s="1"/>
  <c r="C1136" i="34"/>
  <c r="B1137" i="34"/>
  <c r="A1137" i="34" s="1"/>
  <c r="C1137" i="34"/>
  <c r="A1138" i="34"/>
  <c r="C1138" i="34"/>
  <c r="B1138" i="34" s="1"/>
  <c r="A1139" i="34"/>
  <c r="B1139" i="34"/>
  <c r="C1139" i="34"/>
  <c r="B1140" i="34"/>
  <c r="A1140" i="34" s="1"/>
  <c r="C1140" i="34"/>
  <c r="B1141" i="34"/>
  <c r="A1141" i="34" s="1"/>
  <c r="C1141" i="34"/>
  <c r="A1142" i="34"/>
  <c r="C1142" i="34"/>
  <c r="B1142" i="34" s="1"/>
  <c r="A1143" i="34"/>
  <c r="B1143" i="34"/>
  <c r="C1143" i="34"/>
  <c r="B1144" i="34"/>
  <c r="A1144" i="34" s="1"/>
  <c r="C1144" i="34"/>
  <c r="B1145" i="34"/>
  <c r="A1145" i="34" s="1"/>
  <c r="C1145" i="34"/>
  <c r="A1146" i="34"/>
  <c r="C1146" i="34"/>
  <c r="B1146" i="34" s="1"/>
  <c r="A1147" i="34"/>
  <c r="B1147" i="34"/>
  <c r="C1147" i="34"/>
  <c r="B1148" i="34"/>
  <c r="A1148" i="34" s="1"/>
  <c r="C1148" i="34"/>
  <c r="B1149" i="34"/>
  <c r="A1149" i="34" s="1"/>
  <c r="C1149" i="34"/>
  <c r="A1150" i="34"/>
  <c r="C1150" i="34"/>
  <c r="B1150" i="34" s="1"/>
  <c r="A1151" i="34"/>
  <c r="B1151" i="34"/>
  <c r="C1151" i="34"/>
  <c r="B1152" i="34"/>
  <c r="A1152" i="34" s="1"/>
  <c r="C1152" i="34"/>
  <c r="B1153" i="34"/>
  <c r="A1153" i="34" s="1"/>
  <c r="C1153" i="34"/>
  <c r="A1154" i="34"/>
  <c r="C1154" i="34"/>
  <c r="B1154" i="34" s="1"/>
  <c r="A1155" i="34"/>
  <c r="B1155" i="34"/>
  <c r="C1155" i="34"/>
  <c r="B1156" i="34"/>
  <c r="A1156" i="34" s="1"/>
  <c r="C1156" i="34"/>
  <c r="B1157" i="34"/>
  <c r="A1157" i="34" s="1"/>
  <c r="C1157" i="34"/>
  <c r="A1158" i="34"/>
  <c r="C1158" i="34"/>
  <c r="B1158" i="34" s="1"/>
  <c r="A1159" i="34"/>
  <c r="B1159" i="34"/>
  <c r="C1159" i="34"/>
  <c r="B1160" i="34"/>
  <c r="A1160" i="34" s="1"/>
  <c r="C1160" i="34"/>
  <c r="B1161" i="34"/>
  <c r="A1161" i="34" s="1"/>
  <c r="C1161" i="34"/>
  <c r="A1162" i="34"/>
  <c r="C1162" i="34"/>
  <c r="B1162" i="34" s="1"/>
  <c r="A1163" i="34"/>
  <c r="B1163" i="34"/>
  <c r="C1163" i="34"/>
  <c r="B1164" i="34"/>
  <c r="A1164" i="34" s="1"/>
  <c r="C1164" i="34"/>
  <c r="B1165" i="34"/>
  <c r="A1165" i="34" s="1"/>
  <c r="C1165" i="34"/>
  <c r="A1166" i="34"/>
  <c r="C1166" i="34"/>
  <c r="B1166" i="34" s="1"/>
  <c r="A1167" i="34"/>
  <c r="B1167" i="34"/>
  <c r="C1167" i="34"/>
  <c r="B1168" i="34"/>
  <c r="A1168" i="34" s="1"/>
  <c r="C1168" i="34"/>
  <c r="B1169" i="34"/>
  <c r="A1169" i="34" s="1"/>
  <c r="C1169" i="34"/>
  <c r="A1170" i="34"/>
  <c r="C1170" i="34"/>
  <c r="B1170" i="34" s="1"/>
  <c r="A1171" i="34"/>
  <c r="B1171" i="34"/>
  <c r="C1171" i="34"/>
  <c r="B1172" i="34"/>
  <c r="A1172" i="34" s="1"/>
  <c r="C1172" i="34"/>
  <c r="B1173" i="34"/>
  <c r="A1173" i="34" s="1"/>
  <c r="C1173" i="34"/>
  <c r="A1174" i="34"/>
  <c r="C1174" i="34"/>
  <c r="B1174" i="34" s="1"/>
  <c r="A1175" i="34"/>
  <c r="B1175" i="34"/>
  <c r="C1175" i="34"/>
  <c r="B1176" i="34"/>
  <c r="A1176" i="34" s="1"/>
  <c r="C1176" i="34"/>
  <c r="B1177" i="34"/>
  <c r="A1177" i="34" s="1"/>
  <c r="C1177" i="34"/>
  <c r="A1178" i="34"/>
  <c r="C1178" i="34"/>
  <c r="B1178" i="34" s="1"/>
  <c r="A1179" i="34"/>
  <c r="B1179" i="34"/>
  <c r="C1179" i="34"/>
  <c r="B1180" i="34"/>
  <c r="A1180" i="34" s="1"/>
  <c r="C1180" i="34"/>
  <c r="B1181" i="34"/>
  <c r="A1181" i="34" s="1"/>
  <c r="C1181" i="34"/>
  <c r="A1182" i="34"/>
  <c r="C1182" i="34"/>
  <c r="B1182" i="34" s="1"/>
  <c r="A1183" i="34"/>
  <c r="B1183" i="34"/>
  <c r="C1183" i="34"/>
  <c r="B1184" i="34"/>
  <c r="A1184" i="34" s="1"/>
  <c r="C1184" i="34"/>
  <c r="B1185" i="34"/>
  <c r="A1185" i="34" s="1"/>
  <c r="C1185" i="34"/>
  <c r="A1186" i="34"/>
  <c r="C1186" i="34"/>
  <c r="B1186" i="34" s="1"/>
  <c r="A1187" i="34"/>
  <c r="B1187" i="34"/>
  <c r="C1187" i="34"/>
  <c r="B1188" i="34"/>
  <c r="A1188" i="34" s="1"/>
  <c r="C1188" i="34"/>
  <c r="B1189" i="34"/>
  <c r="A1189" i="34" s="1"/>
  <c r="C1189" i="34"/>
  <c r="A1190" i="34"/>
  <c r="C1190" i="34"/>
  <c r="B1190" i="34" s="1"/>
  <c r="A1191" i="34"/>
  <c r="B1191" i="34"/>
  <c r="C1191" i="34"/>
  <c r="B1192" i="34"/>
  <c r="A1192" i="34" s="1"/>
  <c r="C1192" i="34"/>
  <c r="B1193" i="34"/>
  <c r="A1193" i="34" s="1"/>
  <c r="C1193" i="34"/>
  <c r="A1194" i="34"/>
  <c r="C1194" i="34"/>
  <c r="B1194" i="34" s="1"/>
  <c r="A1195" i="34"/>
  <c r="B1195" i="34"/>
  <c r="C1195" i="34"/>
  <c r="B1196" i="34"/>
  <c r="A1196" i="34" s="1"/>
  <c r="C1196" i="34"/>
  <c r="B1197" i="34"/>
  <c r="A1197" i="34" s="1"/>
  <c r="C1197" i="34"/>
  <c r="A1198" i="34"/>
  <c r="C1198" i="34"/>
  <c r="B1198" i="34" s="1"/>
  <c r="A1199" i="34"/>
  <c r="B1199" i="34"/>
  <c r="C1199" i="34"/>
  <c r="B1200" i="34"/>
  <c r="A1200" i="34" s="1"/>
  <c r="C1200" i="34"/>
  <c r="B1201" i="34"/>
  <c r="A1201" i="34" s="1"/>
  <c r="C1201" i="34"/>
  <c r="A1202" i="34"/>
  <c r="C1202" i="34"/>
  <c r="B1202" i="34" s="1"/>
  <c r="A1203" i="34"/>
  <c r="B1203" i="34"/>
  <c r="C1203" i="34"/>
  <c r="B1204" i="34"/>
  <c r="A1204" i="34" s="1"/>
  <c r="C1204" i="34"/>
  <c r="B1205" i="34"/>
  <c r="A1205" i="34" s="1"/>
  <c r="C1205" i="34"/>
  <c r="A1206" i="34"/>
  <c r="C1206" i="34"/>
  <c r="B1206" i="34" s="1"/>
  <c r="A1207" i="34"/>
  <c r="B1207" i="34"/>
  <c r="C1207" i="34"/>
  <c r="B1208" i="34"/>
  <c r="A1208" i="34" s="1"/>
  <c r="C1208" i="34"/>
  <c r="B1209" i="34"/>
  <c r="A1209" i="34" s="1"/>
  <c r="C1209" i="34"/>
  <c r="A1210" i="34"/>
  <c r="C1210" i="34"/>
  <c r="B1210" i="34" s="1"/>
  <c r="A1211" i="34"/>
  <c r="B1211" i="34"/>
  <c r="C1211" i="34"/>
  <c r="B1212" i="34"/>
  <c r="A1212" i="34" s="1"/>
  <c r="C1212" i="34"/>
  <c r="B1213" i="34"/>
  <c r="A1213" i="34" s="1"/>
  <c r="C1213" i="34"/>
  <c r="A1214" i="34"/>
  <c r="C1214" i="34"/>
  <c r="B1214" i="34" s="1"/>
  <c r="A1215" i="34"/>
  <c r="B1215" i="34"/>
  <c r="C1215" i="34"/>
  <c r="B1216" i="34"/>
  <c r="A1216" i="34" s="1"/>
  <c r="C1216" i="34"/>
  <c r="B1217" i="34"/>
  <c r="A1217" i="34" s="1"/>
  <c r="C1217" i="34"/>
  <c r="A1218" i="34"/>
  <c r="C1218" i="34"/>
  <c r="B1218" i="34" s="1"/>
  <c r="A1219" i="34"/>
  <c r="B1219" i="34"/>
  <c r="C1219" i="34"/>
  <c r="B1220" i="34"/>
  <c r="A1220" i="34" s="1"/>
  <c r="C1220" i="34"/>
  <c r="B1221" i="34"/>
  <c r="A1221" i="34" s="1"/>
  <c r="C1221" i="34"/>
  <c r="A1222" i="34"/>
  <c r="C1222" i="34"/>
  <c r="B1222" i="34" s="1"/>
  <c r="A1223" i="34"/>
  <c r="B1223" i="34"/>
  <c r="C1223" i="34"/>
  <c r="B1224" i="34"/>
  <c r="A1224" i="34" s="1"/>
  <c r="C1224" i="34"/>
  <c r="B1225" i="34"/>
  <c r="A1225" i="34" s="1"/>
  <c r="C1225" i="34"/>
  <c r="A1226" i="34"/>
  <c r="C1226" i="34"/>
  <c r="B1226" i="34" s="1"/>
  <c r="A1227" i="34"/>
  <c r="B1227" i="34"/>
  <c r="C1227" i="34"/>
  <c r="B1228" i="34"/>
  <c r="A1228" i="34" s="1"/>
  <c r="C1228" i="34"/>
  <c r="B1229" i="34"/>
  <c r="A1229" i="34" s="1"/>
  <c r="C1229" i="34"/>
  <c r="A1230" i="34"/>
  <c r="C1230" i="34"/>
  <c r="B1230" i="34" s="1"/>
  <c r="A1231" i="34"/>
  <c r="B1231" i="34"/>
  <c r="C1231" i="34"/>
  <c r="B1232" i="34"/>
  <c r="A1232" i="34" s="1"/>
  <c r="C1232" i="34"/>
  <c r="B1233" i="34"/>
  <c r="A1233" i="34" s="1"/>
  <c r="C1233" i="34"/>
  <c r="A1234" i="34"/>
  <c r="C1234" i="34"/>
  <c r="B1234" i="34" s="1"/>
  <c r="A1235" i="34"/>
  <c r="B1235" i="34"/>
  <c r="C1235" i="34"/>
  <c r="B1236" i="34"/>
  <c r="A1236" i="34" s="1"/>
  <c r="C1236" i="34"/>
  <c r="B1237" i="34"/>
  <c r="A1237" i="34" s="1"/>
  <c r="C1237" i="34"/>
  <c r="A1238" i="34"/>
  <c r="C1238" i="34"/>
  <c r="B1238" i="34" s="1"/>
  <c r="A1239" i="34"/>
  <c r="B1239" i="34"/>
  <c r="C1239" i="34"/>
  <c r="B1240" i="34"/>
  <c r="A1240" i="34" s="1"/>
  <c r="C1240" i="34"/>
  <c r="B1241" i="34"/>
  <c r="A1241" i="34" s="1"/>
  <c r="C1241" i="34"/>
  <c r="A1242" i="34"/>
  <c r="C1242" i="34"/>
  <c r="B1242" i="34" s="1"/>
  <c r="A1243" i="34"/>
  <c r="B1243" i="34"/>
  <c r="C1243" i="34"/>
  <c r="B1244" i="34"/>
  <c r="A1244" i="34" s="1"/>
  <c r="C1244" i="34"/>
  <c r="B1245" i="34"/>
  <c r="A1245" i="34" s="1"/>
  <c r="C1245" i="34"/>
  <c r="A1246" i="34"/>
  <c r="C1246" i="34"/>
  <c r="B1246" i="34" s="1"/>
  <c r="A1247" i="34"/>
  <c r="B1247" i="34"/>
  <c r="C1247" i="34"/>
  <c r="B1248" i="34"/>
  <c r="A1248" i="34" s="1"/>
  <c r="C1248" i="34"/>
  <c r="B1249" i="34"/>
  <c r="A1249" i="34" s="1"/>
  <c r="C1249" i="34"/>
  <c r="A1250" i="34"/>
  <c r="C1250" i="34"/>
  <c r="B1250" i="34" s="1"/>
  <c r="A1251" i="34"/>
  <c r="B1251" i="34"/>
  <c r="C1251" i="34"/>
  <c r="B1252" i="34"/>
  <c r="A1252" i="34" s="1"/>
  <c r="C1252" i="34"/>
  <c r="B1253" i="34"/>
  <c r="A1253" i="34" s="1"/>
  <c r="C1253" i="34"/>
  <c r="A1254" i="34"/>
  <c r="C1254" i="34"/>
  <c r="B1254" i="34" s="1"/>
  <c r="A1255" i="34"/>
  <c r="B1255" i="34"/>
  <c r="C1255" i="34"/>
  <c r="B1256" i="34"/>
  <c r="A1256" i="34" s="1"/>
  <c r="C1256" i="34"/>
  <c r="B1257" i="34"/>
  <c r="A1257" i="34" s="1"/>
  <c r="C1257" i="34"/>
  <c r="A1258" i="34"/>
  <c r="C1258" i="34"/>
  <c r="B1258" i="34" s="1"/>
  <c r="A1259" i="34"/>
  <c r="B1259" i="34"/>
  <c r="C1259" i="34"/>
  <c r="B1260" i="34"/>
  <c r="A1260" i="34" s="1"/>
  <c r="C1260" i="34"/>
  <c r="B1261" i="34"/>
  <c r="A1261" i="34" s="1"/>
  <c r="C1261" i="34"/>
  <c r="A1262" i="34"/>
  <c r="C1262" i="34"/>
  <c r="B1262" i="34" s="1"/>
  <c r="A1263" i="34"/>
  <c r="B1263" i="34"/>
  <c r="C1263" i="34"/>
  <c r="B1264" i="34"/>
  <c r="A1264" i="34" s="1"/>
  <c r="C1264" i="34"/>
  <c r="B1265" i="34"/>
  <c r="A1265" i="34" s="1"/>
  <c r="C1265" i="34"/>
  <c r="A1266" i="34"/>
  <c r="C1266" i="34"/>
  <c r="B1266" i="34" s="1"/>
  <c r="A1267" i="34"/>
  <c r="B1267" i="34"/>
  <c r="C1267" i="34"/>
  <c r="B1268" i="34"/>
  <c r="A1268" i="34" s="1"/>
  <c r="C1268" i="34"/>
  <c r="B1269" i="34"/>
  <c r="A1269" i="34" s="1"/>
  <c r="C1269" i="34"/>
  <c r="A1270" i="34"/>
  <c r="C1270" i="34"/>
  <c r="B1270" i="34" s="1"/>
  <c r="A1271" i="34"/>
  <c r="B1271" i="34"/>
  <c r="C1271" i="34"/>
  <c r="B1272" i="34"/>
  <c r="A1272" i="34" s="1"/>
  <c r="C1272" i="34"/>
  <c r="B1273" i="34"/>
  <c r="A1273" i="34" s="1"/>
  <c r="C1273" i="34"/>
  <c r="A1274" i="34"/>
  <c r="C1274" i="34"/>
  <c r="B1274" i="34" s="1"/>
  <c r="A1275" i="34"/>
  <c r="B1275" i="34"/>
  <c r="C1275" i="34"/>
  <c r="B1276" i="34"/>
  <c r="A1276" i="34" s="1"/>
  <c r="C1276" i="34"/>
  <c r="B1277" i="34"/>
  <c r="A1277" i="34" s="1"/>
  <c r="C1277" i="34"/>
  <c r="A1278" i="34"/>
  <c r="C1278" i="34"/>
  <c r="B1278" i="34" s="1"/>
  <c r="A1279" i="34"/>
  <c r="B1279" i="34"/>
  <c r="C1279" i="34"/>
  <c r="B1280" i="34"/>
  <c r="A1280" i="34" s="1"/>
  <c r="C1280" i="34"/>
  <c r="B1281" i="34"/>
  <c r="A1281" i="34" s="1"/>
  <c r="C1281" i="34"/>
  <c r="A1282" i="34"/>
  <c r="C1282" i="34"/>
  <c r="B1282" i="34" s="1"/>
  <c r="A1283" i="34"/>
  <c r="B1283" i="34"/>
  <c r="C1283" i="34"/>
  <c r="B1284" i="34"/>
  <c r="A1284" i="34" s="1"/>
  <c r="C1284" i="34"/>
  <c r="B1285" i="34"/>
  <c r="A1285" i="34" s="1"/>
  <c r="C1285" i="34"/>
  <c r="A1286" i="34"/>
  <c r="C1286" i="34"/>
  <c r="B1286" i="34" s="1"/>
  <c r="A1287" i="34"/>
  <c r="B1287" i="34"/>
  <c r="C1287" i="34"/>
  <c r="B1288" i="34"/>
  <c r="A1288" i="34" s="1"/>
  <c r="C1288" i="34"/>
  <c r="B1289" i="34"/>
  <c r="A1289" i="34" s="1"/>
  <c r="C1289" i="34"/>
  <c r="A1290" i="34"/>
  <c r="C1290" i="34"/>
  <c r="B1290" i="34" s="1"/>
  <c r="A1291" i="34"/>
  <c r="B1291" i="34"/>
  <c r="C1291" i="34"/>
  <c r="B1292" i="34"/>
  <c r="A1292" i="34" s="1"/>
  <c r="C1292" i="34"/>
  <c r="B1293" i="34"/>
  <c r="A1293" i="34" s="1"/>
  <c r="C1293" i="34"/>
  <c r="A1294" i="34"/>
  <c r="C1294" i="34"/>
  <c r="B1294" i="34" s="1"/>
  <c r="A1295" i="34"/>
  <c r="B1295" i="34"/>
  <c r="C1295" i="34"/>
  <c r="B1296" i="34"/>
  <c r="A1296" i="34" s="1"/>
  <c r="C1296" i="34"/>
  <c r="B1297" i="34"/>
  <c r="A1297" i="34" s="1"/>
  <c r="C1297" i="34"/>
  <c r="A1298" i="34"/>
  <c r="C1298" i="34"/>
  <c r="B1298" i="34" s="1"/>
  <c r="A1299" i="34"/>
  <c r="B1299" i="34"/>
  <c r="C1299" i="34"/>
  <c r="B1300" i="34"/>
  <c r="A1300" i="34" s="1"/>
  <c r="C1300" i="34"/>
  <c r="B1301" i="34"/>
  <c r="A1301" i="34" s="1"/>
  <c r="C1301" i="34"/>
  <c r="A1302" i="34"/>
  <c r="C1302" i="34"/>
  <c r="B1302" i="34" s="1"/>
  <c r="A1303" i="34"/>
  <c r="B1303" i="34"/>
  <c r="C1303" i="34"/>
  <c r="B1304" i="34"/>
  <c r="A1304" i="34" s="1"/>
  <c r="C1304" i="34"/>
  <c r="B1305" i="34"/>
  <c r="A1305" i="34" s="1"/>
  <c r="C1305" i="34"/>
  <c r="A1306" i="34"/>
  <c r="C1306" i="34"/>
  <c r="B1306" i="34" s="1"/>
  <c r="A1307" i="34"/>
  <c r="B1307" i="34"/>
  <c r="C1307" i="34"/>
  <c r="B1308" i="34"/>
  <c r="A1308" i="34" s="1"/>
  <c r="C1308" i="34"/>
  <c r="B1309" i="34"/>
  <c r="A1309" i="34" s="1"/>
  <c r="C1309" i="34"/>
  <c r="A1310" i="34"/>
  <c r="C1310" i="34"/>
  <c r="B1310" i="34" s="1"/>
  <c r="A1311" i="34"/>
  <c r="B1311" i="34"/>
  <c r="C1311" i="34"/>
  <c r="B1312" i="34"/>
  <c r="A1312" i="34" s="1"/>
  <c r="C1312" i="34"/>
  <c r="B1313" i="34"/>
  <c r="A1313" i="34" s="1"/>
  <c r="C1313" i="34"/>
  <c r="A1314" i="34"/>
  <c r="C1314" i="34"/>
  <c r="B1314" i="34" s="1"/>
  <c r="A1315" i="34"/>
  <c r="B1315" i="34"/>
  <c r="C1315" i="34"/>
  <c r="B1316" i="34"/>
  <c r="A1316" i="34" s="1"/>
  <c r="C1316" i="34"/>
  <c r="B1317" i="34"/>
  <c r="A1317" i="34" s="1"/>
  <c r="C1317" i="34"/>
  <c r="A1318" i="34"/>
  <c r="C1318" i="34"/>
  <c r="B1318" i="34" s="1"/>
  <c r="A1319" i="34"/>
  <c r="B1319" i="34"/>
  <c r="C1319" i="34"/>
  <c r="B1320" i="34"/>
  <c r="A1320" i="34" s="1"/>
  <c r="C1320" i="34"/>
  <c r="B1321" i="34"/>
  <c r="A1321" i="34" s="1"/>
  <c r="C1321" i="34"/>
  <c r="A1322" i="34"/>
  <c r="C1322" i="34"/>
  <c r="B1322" i="34" s="1"/>
  <c r="A1323" i="34"/>
  <c r="B1323" i="34"/>
  <c r="C1323" i="34"/>
  <c r="B1324" i="34"/>
  <c r="A1324" i="34" s="1"/>
  <c r="C1324" i="34"/>
  <c r="B1325" i="34"/>
  <c r="A1325" i="34" s="1"/>
  <c r="C1325" i="34"/>
  <c r="A1326" i="34"/>
  <c r="C1326" i="34"/>
  <c r="B1326" i="34" s="1"/>
  <c r="A1327" i="34"/>
  <c r="B1327" i="34"/>
  <c r="C1327" i="34"/>
  <c r="B1328" i="34"/>
  <c r="A1328" i="34" s="1"/>
  <c r="C1328" i="34"/>
  <c r="B1329" i="34"/>
  <c r="A1329" i="34" s="1"/>
  <c r="C1329" i="34"/>
  <c r="A1330" i="34"/>
  <c r="C1330" i="34"/>
  <c r="B1330" i="34" s="1"/>
  <c r="A1331" i="34"/>
  <c r="B1331" i="34"/>
  <c r="C1331" i="34"/>
  <c r="B1332" i="34"/>
  <c r="A1332" i="34" s="1"/>
  <c r="C1332" i="34"/>
  <c r="B1333" i="34"/>
  <c r="A1333" i="34" s="1"/>
  <c r="C1333" i="34"/>
  <c r="A1334" i="34"/>
  <c r="C1334" i="34"/>
  <c r="B1334" i="34" s="1"/>
  <c r="A1335" i="34"/>
  <c r="B1335" i="34"/>
  <c r="C1335" i="34"/>
  <c r="B1336" i="34"/>
  <c r="A1336" i="34" s="1"/>
  <c r="C1336" i="34"/>
  <c r="B1337" i="34"/>
  <c r="A1337" i="34" s="1"/>
  <c r="C1337" i="34"/>
  <c r="A1338" i="34"/>
  <c r="C1338" i="34"/>
  <c r="B1338" i="34" s="1"/>
  <c r="C1339" i="34"/>
  <c r="B1339" i="34" s="1"/>
  <c r="A1339" i="34" s="1"/>
  <c r="B1340" i="34"/>
  <c r="A1340" i="34" s="1"/>
  <c r="C1340" i="34"/>
  <c r="C1341" i="34"/>
  <c r="B1341" i="34" s="1"/>
  <c r="A1341" i="34" s="1"/>
  <c r="B1342" i="34"/>
  <c r="A1342" i="34" s="1"/>
  <c r="C1342" i="34"/>
  <c r="C1343" i="34"/>
  <c r="B1343" i="34" s="1"/>
  <c r="A1343" i="34" s="1"/>
  <c r="B1344" i="34"/>
  <c r="A1344" i="34" s="1"/>
  <c r="C1344" i="34"/>
  <c r="C1345" i="34"/>
  <c r="B1345" i="34" s="1"/>
  <c r="A1345" i="34" s="1"/>
  <c r="B1346" i="34"/>
  <c r="A1346" i="34" s="1"/>
  <c r="C1346" i="34"/>
  <c r="C1347" i="34"/>
  <c r="B1347" i="34" s="1"/>
  <c r="A1347" i="34" s="1"/>
  <c r="B1348" i="34"/>
  <c r="A1348" i="34" s="1"/>
  <c r="C1348" i="34"/>
  <c r="C1349" i="34"/>
  <c r="B1349" i="34" s="1"/>
  <c r="A1349" i="34" s="1"/>
  <c r="B1350" i="34"/>
  <c r="A1350" i="34" s="1"/>
  <c r="C1350" i="34"/>
  <c r="C1351" i="34"/>
  <c r="B1351" i="34" s="1"/>
  <c r="A1351" i="34" s="1"/>
  <c r="B1352" i="34"/>
  <c r="A1352" i="34" s="1"/>
  <c r="C1352" i="34"/>
  <c r="C1353" i="34"/>
  <c r="B1353" i="34" s="1"/>
  <c r="A1353" i="34" s="1"/>
  <c r="B1354" i="34"/>
  <c r="A1354" i="34" s="1"/>
  <c r="C1354" i="34"/>
  <c r="C1355" i="34"/>
  <c r="B1355" i="34" s="1"/>
  <c r="A1355" i="34" s="1"/>
  <c r="B1356" i="34"/>
  <c r="A1356" i="34" s="1"/>
  <c r="C1356" i="34"/>
  <c r="C1357" i="34"/>
  <c r="B1357" i="34" s="1"/>
  <c r="A1357" i="34" s="1"/>
  <c r="B1358" i="34"/>
  <c r="A1358" i="34" s="1"/>
  <c r="C1358" i="34"/>
  <c r="C1359" i="34"/>
  <c r="B1359" i="34" s="1"/>
  <c r="A1359" i="34" s="1"/>
  <c r="B1360" i="34"/>
  <c r="A1360" i="34" s="1"/>
  <c r="C1360" i="34"/>
  <c r="C1361" i="34"/>
  <c r="B1361" i="34" s="1"/>
  <c r="A1361" i="34" s="1"/>
  <c r="B1362" i="34"/>
  <c r="A1362" i="34" s="1"/>
  <c r="C1362" i="34"/>
  <c r="C1363" i="34"/>
  <c r="B1363" i="34" s="1"/>
  <c r="A1363" i="34" s="1"/>
  <c r="B1364" i="34"/>
  <c r="A1364" i="34" s="1"/>
  <c r="C1364" i="34"/>
  <c r="C1365" i="34"/>
  <c r="B1365" i="34" s="1"/>
  <c r="A1365" i="34" s="1"/>
  <c r="B1366" i="34"/>
  <c r="A1366" i="34" s="1"/>
  <c r="C1366" i="34"/>
  <c r="C1367" i="34"/>
  <c r="B1367" i="34" s="1"/>
  <c r="A1367" i="34" s="1"/>
  <c r="B1368" i="34"/>
  <c r="A1368" i="34" s="1"/>
  <c r="C1368" i="34"/>
  <c r="C1369" i="34"/>
  <c r="B1369" i="34" s="1"/>
  <c r="A1369" i="34" s="1"/>
  <c r="B1370" i="34"/>
  <c r="A1370" i="34" s="1"/>
  <c r="C1370" i="34"/>
  <c r="C1371" i="34"/>
  <c r="B1371" i="34" s="1"/>
  <c r="A1371" i="34" s="1"/>
  <c r="B1372" i="34"/>
  <c r="A1372" i="34" s="1"/>
  <c r="C1372" i="34"/>
  <c r="C1373" i="34"/>
  <c r="B1373" i="34" s="1"/>
  <c r="A1373" i="34" s="1"/>
  <c r="B1374" i="34"/>
  <c r="A1374" i="34" s="1"/>
  <c r="C1374" i="34"/>
  <c r="C1375" i="34"/>
  <c r="B1375" i="34" s="1"/>
  <c r="A1375" i="34" s="1"/>
  <c r="B1376" i="34"/>
  <c r="A1376" i="34" s="1"/>
  <c r="C1376" i="34"/>
  <c r="C1377" i="34"/>
  <c r="B1377" i="34" s="1"/>
  <c r="A1377" i="34" s="1"/>
  <c r="B1378" i="34"/>
  <c r="A1378" i="34" s="1"/>
  <c r="C1378" i="34"/>
  <c r="C1379" i="34"/>
  <c r="B1379" i="34" s="1"/>
  <c r="A1379" i="34" s="1"/>
  <c r="B1380" i="34"/>
  <c r="A1380" i="34" s="1"/>
  <c r="C1380" i="34"/>
  <c r="C1381" i="34"/>
  <c r="B1381" i="34" s="1"/>
  <c r="A1381" i="34" s="1"/>
  <c r="B1382" i="34"/>
  <c r="A1382" i="34" s="1"/>
  <c r="C1382" i="34"/>
  <c r="C1383" i="34"/>
  <c r="B1383" i="34" s="1"/>
  <c r="A1383" i="34" s="1"/>
  <c r="B1384" i="34"/>
  <c r="A1384" i="34" s="1"/>
  <c r="C1384" i="34"/>
  <c r="C1385" i="34"/>
  <c r="B1385" i="34" s="1"/>
  <c r="A1385" i="34" s="1"/>
  <c r="B1386" i="34"/>
  <c r="A1386" i="34" s="1"/>
  <c r="C1386" i="34"/>
  <c r="C1387" i="34"/>
  <c r="B1387" i="34" s="1"/>
  <c r="A1387" i="34" s="1"/>
  <c r="B1388" i="34"/>
  <c r="A1388" i="34" s="1"/>
  <c r="C1388" i="34"/>
  <c r="C1389" i="34"/>
  <c r="B1389" i="34" s="1"/>
  <c r="A1389" i="34" s="1"/>
  <c r="B1390" i="34"/>
  <c r="A1390" i="34" s="1"/>
  <c r="C1390" i="34"/>
  <c r="C1391" i="34"/>
  <c r="B1391" i="34" s="1"/>
  <c r="A1391" i="34" s="1"/>
  <c r="B1392" i="34"/>
  <c r="A1392" i="34" s="1"/>
  <c r="C1392" i="34"/>
  <c r="C1393" i="34"/>
  <c r="B1393" i="34" s="1"/>
  <c r="A1393" i="34" s="1"/>
  <c r="B1394" i="34"/>
  <c r="A1394" i="34" s="1"/>
  <c r="C1394" i="34"/>
  <c r="C1395" i="34"/>
  <c r="B1395" i="34" s="1"/>
  <c r="A1395" i="34" s="1"/>
  <c r="B1396" i="34"/>
  <c r="A1396" i="34" s="1"/>
  <c r="C1396" i="34"/>
  <c r="C1397" i="34"/>
  <c r="B1397" i="34" s="1"/>
  <c r="A1397" i="34" s="1"/>
  <c r="B1398" i="34"/>
  <c r="A1398" i="34" s="1"/>
  <c r="C1398" i="34"/>
  <c r="C1399" i="34"/>
  <c r="B1399" i="34" s="1"/>
  <c r="A1399" i="34" s="1"/>
  <c r="B1400" i="34"/>
  <c r="A1400" i="34" s="1"/>
  <c r="C1400" i="34"/>
  <c r="C1401" i="34"/>
  <c r="B1401" i="34" s="1"/>
  <c r="A1401" i="34" s="1"/>
  <c r="B1402" i="34"/>
  <c r="A1402" i="34" s="1"/>
  <c r="C1402" i="34"/>
  <c r="C1403" i="34"/>
  <c r="B1403" i="34" s="1"/>
  <c r="A1403" i="34" s="1"/>
  <c r="B1404" i="34"/>
  <c r="A1404" i="34" s="1"/>
  <c r="C1404" i="34"/>
  <c r="C1405" i="34"/>
  <c r="B1405" i="34" s="1"/>
  <c r="A1405" i="34" s="1"/>
  <c r="B1406" i="34"/>
  <c r="A1406" i="34" s="1"/>
  <c r="C1406" i="34"/>
  <c r="C1407" i="34"/>
  <c r="B1407" i="34" s="1"/>
  <c r="A1407" i="34" s="1"/>
  <c r="B1408" i="34"/>
  <c r="A1408" i="34" s="1"/>
  <c r="C1408" i="34"/>
  <c r="C1409" i="34"/>
  <c r="B1409" i="34" s="1"/>
  <c r="A1409" i="34" s="1"/>
  <c r="B1410" i="34"/>
  <c r="A1410" i="34" s="1"/>
  <c r="C1410" i="34"/>
  <c r="C1411" i="34"/>
  <c r="B1411" i="34" s="1"/>
  <c r="A1411" i="34" s="1"/>
  <c r="B1412" i="34"/>
  <c r="A1412" i="34" s="1"/>
  <c r="C1412" i="34"/>
  <c r="C1413" i="34"/>
  <c r="B1413" i="34" s="1"/>
  <c r="A1413" i="34" s="1"/>
  <c r="B1414" i="34"/>
  <c r="A1414" i="34" s="1"/>
  <c r="C1414" i="34"/>
  <c r="C1415" i="34"/>
  <c r="B1415" i="34" s="1"/>
  <c r="A1415" i="34" s="1"/>
  <c r="B1416" i="34"/>
  <c r="A1416" i="34" s="1"/>
  <c r="C1416" i="34"/>
  <c r="C1417" i="34"/>
  <c r="B1417" i="34" s="1"/>
  <c r="A1417" i="34" s="1"/>
  <c r="B1418" i="34"/>
  <c r="A1418" i="34" s="1"/>
  <c r="C1418" i="34"/>
  <c r="C1419" i="34"/>
  <c r="B1419" i="34" s="1"/>
  <c r="A1419" i="34" s="1"/>
  <c r="B1420" i="34"/>
  <c r="A1420" i="34" s="1"/>
  <c r="C1420" i="34"/>
  <c r="C1421" i="34"/>
  <c r="B1421" i="34" s="1"/>
  <c r="A1421" i="34" s="1"/>
  <c r="B1422" i="34"/>
  <c r="A1422" i="34" s="1"/>
  <c r="C1422" i="34"/>
  <c r="C1423" i="34"/>
  <c r="B1423" i="34" s="1"/>
  <c r="A1423" i="34" s="1"/>
  <c r="B1424" i="34"/>
  <c r="A1424" i="34" s="1"/>
  <c r="C1424" i="34"/>
  <c r="C1425" i="34"/>
  <c r="B1425" i="34" s="1"/>
  <c r="A1425" i="34" s="1"/>
  <c r="B1426" i="34"/>
  <c r="A1426" i="34" s="1"/>
  <c r="C1426" i="34"/>
  <c r="C1427" i="34"/>
  <c r="B1427" i="34" s="1"/>
  <c r="A1427" i="34" s="1"/>
  <c r="B1428" i="34"/>
  <c r="A1428" i="34" s="1"/>
  <c r="C1428" i="34"/>
  <c r="C1429" i="34"/>
  <c r="B1429" i="34" s="1"/>
  <c r="A1429" i="34" s="1"/>
  <c r="B1430" i="34"/>
  <c r="A1430" i="34" s="1"/>
  <c r="C1430" i="34"/>
  <c r="C1431" i="34"/>
  <c r="B1431" i="34" s="1"/>
  <c r="A1431" i="34" s="1"/>
  <c r="B1432" i="34"/>
  <c r="A1432" i="34" s="1"/>
  <c r="C1432" i="34"/>
  <c r="C1433" i="34"/>
  <c r="B1433" i="34" s="1"/>
  <c r="A1433" i="34" s="1"/>
  <c r="B1434" i="34"/>
  <c r="A1434" i="34" s="1"/>
  <c r="C1434" i="34"/>
  <c r="C1435" i="34"/>
  <c r="B1435" i="34" s="1"/>
  <c r="A1435" i="34" s="1"/>
  <c r="B1436" i="34"/>
  <c r="A1436" i="34" s="1"/>
  <c r="C1436" i="34"/>
  <c r="C1437" i="34"/>
  <c r="B1437" i="34" s="1"/>
  <c r="A1437" i="34" s="1"/>
  <c r="B1438" i="34"/>
  <c r="A1438" i="34" s="1"/>
  <c r="C1438" i="34"/>
  <c r="C1439" i="34"/>
  <c r="B1439" i="34" s="1"/>
  <c r="A1439" i="34" s="1"/>
  <c r="B1440" i="34"/>
  <c r="A1440" i="34" s="1"/>
  <c r="C1440" i="34"/>
  <c r="C1441" i="34"/>
  <c r="B1441" i="34" s="1"/>
  <c r="A1441" i="34" s="1"/>
  <c r="B1442" i="34"/>
  <c r="A1442" i="34" s="1"/>
  <c r="C1442" i="34"/>
  <c r="C1443" i="34"/>
  <c r="B1443" i="34" s="1"/>
  <c r="A1443" i="34" s="1"/>
  <c r="B1444" i="34"/>
  <c r="A1444" i="34" s="1"/>
  <c r="C1444" i="34"/>
  <c r="C1445" i="34"/>
  <c r="B1445" i="34" s="1"/>
  <c r="A1445" i="34" s="1"/>
  <c r="B1446" i="34"/>
  <c r="A1446" i="34" s="1"/>
  <c r="C1446" i="34"/>
  <c r="C1447" i="34"/>
  <c r="B1447" i="34" s="1"/>
  <c r="A1447" i="34" s="1"/>
  <c r="B1448" i="34"/>
  <c r="A1448" i="34" s="1"/>
  <c r="C1448" i="34"/>
  <c r="C1449" i="34"/>
  <c r="B1449" i="34" s="1"/>
  <c r="A1449" i="34" s="1"/>
  <c r="B1450" i="34"/>
  <c r="A1450" i="34" s="1"/>
  <c r="C1450" i="34"/>
  <c r="C1451" i="34"/>
  <c r="B1451" i="34" s="1"/>
  <c r="A1451" i="34" s="1"/>
  <c r="B1452" i="34"/>
  <c r="A1452" i="34" s="1"/>
  <c r="C1452" i="34"/>
  <c r="C1453" i="34"/>
  <c r="B1453" i="34" s="1"/>
  <c r="A1453" i="34" s="1"/>
  <c r="B1454" i="34"/>
  <c r="A1454" i="34" s="1"/>
  <c r="C1454" i="34"/>
  <c r="C1455" i="34"/>
  <c r="B1455" i="34" s="1"/>
  <c r="A1455" i="34" s="1"/>
  <c r="B1456" i="34"/>
  <c r="A1456" i="34" s="1"/>
  <c r="C1456" i="34"/>
  <c r="C1457" i="34"/>
  <c r="B1457" i="34" s="1"/>
  <c r="A1457" i="34" s="1"/>
  <c r="B1458" i="34"/>
  <c r="A1458" i="34" s="1"/>
  <c r="C1458" i="34"/>
  <c r="C1459" i="34"/>
  <c r="B1459" i="34" s="1"/>
  <c r="A1459" i="34" s="1"/>
  <c r="B1460" i="34"/>
  <c r="A1460" i="34" s="1"/>
  <c r="C1460" i="34"/>
  <c r="C1461" i="34"/>
  <c r="B1461" i="34" s="1"/>
  <c r="A1461" i="34" s="1"/>
  <c r="B1462" i="34"/>
  <c r="A1462" i="34" s="1"/>
  <c r="C1462" i="34"/>
  <c r="C1463" i="34"/>
  <c r="B1463" i="34" s="1"/>
  <c r="A1463" i="34" s="1"/>
  <c r="B1464" i="34"/>
  <c r="A1464" i="34" s="1"/>
  <c r="C1464" i="34"/>
  <c r="C1465" i="34"/>
  <c r="B1465" i="34" s="1"/>
  <c r="A1465" i="34" s="1"/>
  <c r="B1466" i="34"/>
  <c r="A1466" i="34" s="1"/>
  <c r="C1466" i="34"/>
  <c r="C1467" i="34"/>
  <c r="B1467" i="34" s="1"/>
  <c r="A1467" i="34" s="1"/>
  <c r="B1468" i="34"/>
  <c r="A1468" i="34" s="1"/>
  <c r="C1468" i="34"/>
  <c r="C1469" i="34"/>
  <c r="B1469" i="34" s="1"/>
  <c r="A1469" i="34" s="1"/>
  <c r="B1470" i="34"/>
  <c r="A1470" i="34" s="1"/>
  <c r="C1470" i="34"/>
  <c r="C1471" i="34"/>
  <c r="B1471" i="34" s="1"/>
  <c r="A1471" i="34" s="1"/>
  <c r="B1472" i="34"/>
  <c r="A1472" i="34" s="1"/>
  <c r="C1472" i="34"/>
  <c r="C1473" i="34"/>
  <c r="B1473" i="34" s="1"/>
  <c r="A1473" i="34" s="1"/>
  <c r="B1474" i="34"/>
  <c r="A1474" i="34" s="1"/>
  <c r="C1474" i="34"/>
  <c r="C1475" i="34"/>
  <c r="B1475" i="34" s="1"/>
  <c r="A1475" i="34" s="1"/>
  <c r="B1476" i="34"/>
  <c r="A1476" i="34" s="1"/>
  <c r="C1476" i="34"/>
  <c r="C1477" i="34"/>
  <c r="B1477" i="34" s="1"/>
  <c r="A1477" i="34" s="1"/>
  <c r="B1478" i="34"/>
  <c r="A1478" i="34" s="1"/>
  <c r="C1478" i="34"/>
  <c r="C1479" i="34"/>
  <c r="B1479" i="34" s="1"/>
  <c r="A1479" i="34" s="1"/>
  <c r="B1480" i="34"/>
  <c r="A1480" i="34" s="1"/>
  <c r="C1480" i="34"/>
  <c r="C1481" i="34"/>
  <c r="B1481" i="34" s="1"/>
  <c r="A1481" i="34" s="1"/>
  <c r="B1482" i="34"/>
  <c r="A1482" i="34" s="1"/>
  <c r="C1482" i="34"/>
  <c r="C1483" i="34"/>
  <c r="B1483" i="34" s="1"/>
  <c r="A1483" i="34" s="1"/>
  <c r="B1484" i="34"/>
  <c r="A1484" i="34" s="1"/>
  <c r="C1484" i="34"/>
  <c r="C1485" i="34"/>
  <c r="B1485" i="34" s="1"/>
  <c r="A1485" i="34" s="1"/>
  <c r="B1486" i="34"/>
  <c r="A1486" i="34" s="1"/>
  <c r="C1486" i="34"/>
  <c r="C1487" i="34"/>
  <c r="B1487" i="34" s="1"/>
  <c r="A1487" i="34" s="1"/>
  <c r="B1488" i="34"/>
  <c r="A1488" i="34" s="1"/>
  <c r="C1488" i="34"/>
  <c r="C1489" i="34"/>
  <c r="B1489" i="34" s="1"/>
  <c r="A1489" i="34" s="1"/>
  <c r="C1490" i="34"/>
  <c r="B1490" i="34" s="1"/>
  <c r="A1490" i="34" s="1"/>
  <c r="C1491" i="34"/>
  <c r="B1491" i="34" s="1"/>
  <c r="A1491" i="34" s="1"/>
  <c r="B1492" i="34"/>
  <c r="A1492" i="34" s="1"/>
  <c r="C1492" i="34"/>
  <c r="C1493" i="34"/>
  <c r="B1493" i="34" s="1"/>
  <c r="A1493" i="34" s="1"/>
  <c r="C1494" i="34"/>
  <c r="B1494" i="34" s="1"/>
  <c r="A1494" i="34" s="1"/>
  <c r="C1495" i="34"/>
  <c r="B1495" i="34" s="1"/>
  <c r="A1495" i="34" s="1"/>
  <c r="B1496" i="34"/>
  <c r="A1496" i="34" s="1"/>
  <c r="C1496" i="34"/>
  <c r="C1497" i="34"/>
  <c r="B1497" i="34" s="1"/>
  <c r="A1497" i="34" s="1"/>
  <c r="C1498" i="34"/>
  <c r="B1498" i="34" s="1"/>
  <c r="A1498" i="34" s="1"/>
  <c r="C1499" i="34"/>
  <c r="B1499" i="34" s="1"/>
  <c r="A1499" i="34" s="1"/>
  <c r="B1500" i="34"/>
  <c r="A1500" i="34" s="1"/>
  <c r="C1500" i="34"/>
  <c r="C1501" i="34"/>
  <c r="B1501" i="34" s="1"/>
  <c r="A1501" i="34" s="1"/>
  <c r="C1502" i="34"/>
  <c r="B1502" i="34" s="1"/>
  <c r="A1502" i="34" s="1"/>
  <c r="C1503" i="34"/>
  <c r="B1503" i="34" s="1"/>
  <c r="A1503" i="34" s="1"/>
  <c r="B1504" i="34"/>
  <c r="A1504" i="34" s="1"/>
  <c r="C1504" i="34"/>
  <c r="C1505" i="34"/>
  <c r="B1505" i="34" s="1"/>
  <c r="A1505" i="34" s="1"/>
  <c r="C1506" i="34"/>
  <c r="B1506" i="34" s="1"/>
  <c r="A1506" i="34" s="1"/>
  <c r="C1507" i="34"/>
  <c r="B1507" i="34" s="1"/>
  <c r="A1507" i="34" s="1"/>
  <c r="B1508" i="34"/>
  <c r="A1508" i="34" s="1"/>
  <c r="C1508" i="34"/>
  <c r="C1509" i="34"/>
  <c r="B1509" i="34" s="1"/>
  <c r="A1509" i="34" s="1"/>
  <c r="C1510" i="34"/>
  <c r="B1510" i="34" s="1"/>
  <c r="A1510" i="34" s="1"/>
  <c r="C1511" i="34"/>
  <c r="B1511" i="34" s="1"/>
  <c r="A1511" i="34" s="1"/>
  <c r="B1512" i="34"/>
  <c r="A1512" i="34" s="1"/>
  <c r="C1512" i="34"/>
  <c r="C1513" i="34"/>
  <c r="B1513" i="34" s="1"/>
  <c r="A1513" i="34" s="1"/>
  <c r="C1514" i="34"/>
  <c r="B1514" i="34" s="1"/>
  <c r="A1514" i="34" s="1"/>
  <c r="C1515" i="34"/>
  <c r="B1515" i="34" s="1"/>
  <c r="A1515" i="34" s="1"/>
  <c r="B1516" i="34"/>
  <c r="A1516" i="34" s="1"/>
  <c r="C1516" i="34"/>
  <c r="C1517" i="34"/>
  <c r="B1517" i="34" s="1"/>
  <c r="A1517" i="34" s="1"/>
  <c r="C1518" i="34"/>
  <c r="B1518" i="34" s="1"/>
  <c r="A1518" i="34" s="1"/>
  <c r="C1519" i="34"/>
  <c r="B1519" i="34" s="1"/>
  <c r="A1519" i="34" s="1"/>
  <c r="B1520" i="34"/>
  <c r="A1520" i="34" s="1"/>
  <c r="C1520" i="34"/>
  <c r="C1521" i="34"/>
  <c r="B1521" i="34" s="1"/>
  <c r="A1521" i="34" s="1"/>
  <c r="C1522" i="34"/>
  <c r="B1522" i="34" s="1"/>
  <c r="A1522" i="34" s="1"/>
  <c r="C1523" i="34"/>
  <c r="B1523" i="34" s="1"/>
  <c r="A1523" i="34" s="1"/>
  <c r="B1524" i="34"/>
  <c r="A1524" i="34" s="1"/>
  <c r="C1524" i="34"/>
  <c r="C1525" i="34"/>
  <c r="B1525" i="34" s="1"/>
  <c r="A1525" i="34" s="1"/>
  <c r="C1526" i="34"/>
  <c r="B1526" i="34" s="1"/>
  <c r="A1526" i="34" s="1"/>
  <c r="C1527" i="34"/>
  <c r="B1527" i="34" s="1"/>
  <c r="A1527" i="34" s="1"/>
  <c r="B1528" i="34"/>
  <c r="A1528" i="34" s="1"/>
  <c r="C1528" i="34"/>
  <c r="C1529" i="34"/>
  <c r="B1529" i="34" s="1"/>
  <c r="A1529" i="34" s="1"/>
  <c r="C1530" i="34"/>
  <c r="B1530" i="34" s="1"/>
  <c r="A1530" i="34" s="1"/>
  <c r="C1531" i="34"/>
  <c r="B1531" i="34" s="1"/>
  <c r="A1531" i="34" s="1"/>
  <c r="B1532" i="34"/>
  <c r="A1532" i="34" s="1"/>
  <c r="C1532" i="34"/>
  <c r="A1533" i="34"/>
  <c r="C1533" i="34"/>
  <c r="B1533" i="34" s="1"/>
  <c r="C1534" i="34"/>
  <c r="B1534" i="34" s="1"/>
  <c r="A1534" i="34" s="1"/>
  <c r="C1535" i="34"/>
  <c r="B1535" i="34" s="1"/>
  <c r="A1535" i="34" s="1"/>
  <c r="B1536" i="34"/>
  <c r="A1536" i="34" s="1"/>
  <c r="C1536" i="34"/>
  <c r="C1537" i="34"/>
  <c r="B1537" i="34" s="1"/>
  <c r="A1537" i="34" s="1"/>
  <c r="C1538" i="34"/>
  <c r="B1538" i="34" s="1"/>
  <c r="A1538" i="34" s="1"/>
  <c r="C1539" i="34"/>
  <c r="B1539" i="34" s="1"/>
  <c r="A1539" i="34" s="1"/>
  <c r="B1540" i="34"/>
  <c r="A1540" i="34" s="1"/>
  <c r="C1540" i="34"/>
  <c r="C1541" i="34"/>
  <c r="B1541" i="34" s="1"/>
  <c r="A1541" i="34" s="1"/>
  <c r="C1542" i="34"/>
  <c r="B1542" i="34" s="1"/>
  <c r="A1542" i="34" s="1"/>
  <c r="C1543" i="34"/>
  <c r="B1543" i="34" s="1"/>
  <c r="A1543" i="34" s="1"/>
  <c r="B1544" i="34"/>
  <c r="A1544" i="34" s="1"/>
  <c r="C1544" i="34"/>
  <c r="C1545" i="34"/>
  <c r="B1545" i="34" s="1"/>
  <c r="A1545" i="34" s="1"/>
  <c r="C1546" i="34"/>
  <c r="B1546" i="34" s="1"/>
  <c r="A1546" i="34" s="1"/>
  <c r="C1547" i="34"/>
  <c r="B1547" i="34" s="1"/>
  <c r="A1547" i="34" s="1"/>
  <c r="B1548" i="34"/>
  <c r="A1548" i="34" s="1"/>
  <c r="C1548" i="34"/>
  <c r="C1549" i="34"/>
  <c r="B1549" i="34" s="1"/>
  <c r="A1549" i="34" s="1"/>
  <c r="C1550" i="34"/>
  <c r="B1550" i="34" s="1"/>
  <c r="A1550" i="34" s="1"/>
  <c r="C1551" i="34"/>
  <c r="B1551" i="34" s="1"/>
  <c r="A1551" i="34" s="1"/>
  <c r="B1552" i="34"/>
  <c r="A1552" i="34" s="1"/>
  <c r="C1552" i="34"/>
  <c r="C1553" i="34"/>
  <c r="B1553" i="34" s="1"/>
  <c r="A1553" i="34" s="1"/>
  <c r="C1554" i="34"/>
  <c r="B1554" i="34" s="1"/>
  <c r="A1554" i="34" s="1"/>
  <c r="C1555" i="34"/>
  <c r="B1555" i="34" s="1"/>
  <c r="A1555" i="34" s="1"/>
  <c r="B1556" i="34"/>
  <c r="A1556" i="34" s="1"/>
  <c r="C1556" i="34"/>
  <c r="C1557" i="34"/>
  <c r="B1557" i="34" s="1"/>
  <c r="A1557" i="34" s="1"/>
  <c r="C1558" i="34"/>
  <c r="B1558" i="34" s="1"/>
  <c r="A1558" i="34" s="1"/>
  <c r="C1559" i="34"/>
  <c r="B1559" i="34" s="1"/>
  <c r="A1559" i="34" s="1"/>
  <c r="B1560" i="34"/>
  <c r="A1560" i="34" s="1"/>
  <c r="C1560" i="34"/>
  <c r="C1561" i="34"/>
  <c r="B1561" i="34" s="1"/>
  <c r="A1561" i="34" s="1"/>
  <c r="C1562" i="34"/>
  <c r="B1562" i="34" s="1"/>
  <c r="A1562" i="34" s="1"/>
  <c r="C1563" i="34"/>
  <c r="B1563" i="34" s="1"/>
  <c r="A1563" i="34" s="1"/>
  <c r="B1564" i="34"/>
  <c r="A1564" i="34" s="1"/>
  <c r="C1564" i="34"/>
  <c r="A1565" i="34"/>
  <c r="C1565" i="34"/>
  <c r="B1565" i="34" s="1"/>
  <c r="C1566" i="34"/>
  <c r="B1566" i="34" s="1"/>
  <c r="A1566" i="34" s="1"/>
  <c r="C1567" i="34"/>
  <c r="B1567" i="34" s="1"/>
  <c r="A1567" i="34" s="1"/>
  <c r="B1568" i="34"/>
  <c r="A1568" i="34" s="1"/>
  <c r="C1568" i="34"/>
  <c r="C1569" i="34"/>
  <c r="B1569" i="34" s="1"/>
  <c r="A1569" i="34" s="1"/>
  <c r="C1570" i="34"/>
  <c r="B1570" i="34" s="1"/>
  <c r="A1570" i="34" s="1"/>
  <c r="C1571" i="34"/>
  <c r="B1571" i="34" s="1"/>
  <c r="A1571" i="34" s="1"/>
  <c r="B1572" i="34"/>
  <c r="A1572" i="34" s="1"/>
  <c r="C1572" i="34"/>
  <c r="C1573" i="34"/>
  <c r="B1573" i="34" s="1"/>
  <c r="A1573" i="34" s="1"/>
  <c r="C1574" i="34"/>
  <c r="B1574" i="34" s="1"/>
  <c r="A1574" i="34" s="1"/>
  <c r="C1575" i="34"/>
  <c r="B1575" i="34" s="1"/>
  <c r="A1575" i="34" s="1"/>
  <c r="B1576" i="34"/>
  <c r="A1576" i="34" s="1"/>
  <c r="C1576" i="34"/>
  <c r="C1577" i="34"/>
  <c r="B1577" i="34" s="1"/>
  <c r="A1577" i="34" s="1"/>
  <c r="C1578" i="34"/>
  <c r="B1578" i="34" s="1"/>
  <c r="A1578" i="34" s="1"/>
  <c r="C1579" i="34"/>
  <c r="B1579" i="34" s="1"/>
  <c r="A1579" i="34" s="1"/>
  <c r="B1580" i="34"/>
  <c r="A1580" i="34" s="1"/>
  <c r="C1580" i="34"/>
  <c r="C1581" i="34"/>
  <c r="B1581" i="34" s="1"/>
  <c r="A1581" i="34" s="1"/>
  <c r="C1582" i="34"/>
  <c r="B1582" i="34" s="1"/>
  <c r="A1582" i="34" s="1"/>
  <c r="C1583" i="34"/>
  <c r="B1583" i="34" s="1"/>
  <c r="A1583" i="34" s="1"/>
  <c r="B1584" i="34"/>
  <c r="A1584" i="34" s="1"/>
  <c r="C1584" i="34"/>
  <c r="C1585" i="34"/>
  <c r="B1585" i="34" s="1"/>
  <c r="A1585" i="34" s="1"/>
  <c r="C1586" i="34"/>
  <c r="B1586" i="34" s="1"/>
  <c r="A1586" i="34" s="1"/>
  <c r="C1587" i="34"/>
  <c r="B1587" i="34" s="1"/>
  <c r="A1587" i="34" s="1"/>
  <c r="B1588" i="34"/>
  <c r="A1588" i="34" s="1"/>
  <c r="C1588" i="34"/>
  <c r="C1589" i="34"/>
  <c r="B1589" i="34" s="1"/>
  <c r="A1589" i="34" s="1"/>
  <c r="C1590" i="34"/>
  <c r="B1590" i="34" s="1"/>
  <c r="A1590" i="34" s="1"/>
  <c r="C1591" i="34"/>
  <c r="B1591" i="34" s="1"/>
  <c r="A1591" i="34" s="1"/>
  <c r="B1592" i="34"/>
  <c r="A1592" i="34" s="1"/>
  <c r="C1592" i="34"/>
  <c r="C1593" i="34"/>
  <c r="B1593" i="34" s="1"/>
  <c r="A1593" i="34" s="1"/>
  <c r="C1594" i="34"/>
  <c r="B1594" i="34" s="1"/>
  <c r="A1594" i="34" s="1"/>
  <c r="C1595" i="34"/>
  <c r="B1595" i="34" s="1"/>
  <c r="A1595" i="34" s="1"/>
  <c r="B1596" i="34"/>
  <c r="A1596" i="34" s="1"/>
  <c r="C1596" i="34"/>
  <c r="A1597" i="34"/>
  <c r="C1597" i="34"/>
  <c r="B1597" i="34" s="1"/>
  <c r="C1598" i="34"/>
  <c r="B1598" i="34" s="1"/>
  <c r="A1598" i="34" s="1"/>
  <c r="C1599" i="34"/>
  <c r="B1599" i="34" s="1"/>
  <c r="A1599" i="34" s="1"/>
  <c r="B1600" i="34"/>
  <c r="A1600" i="34" s="1"/>
  <c r="C1600" i="34"/>
  <c r="C1601" i="34"/>
  <c r="B1601" i="34" s="1"/>
  <c r="A1601" i="34" s="1"/>
  <c r="C1602" i="34"/>
  <c r="B1602" i="34" s="1"/>
  <c r="A1602" i="34" s="1"/>
  <c r="C1603" i="34"/>
  <c r="B1603" i="34" s="1"/>
  <c r="A1603" i="34" s="1"/>
  <c r="B1604" i="34"/>
  <c r="A1604" i="34" s="1"/>
  <c r="C1604" i="34"/>
  <c r="C1605" i="34"/>
  <c r="B1605" i="34" s="1"/>
  <c r="A1605" i="34" s="1"/>
  <c r="C1606" i="34"/>
  <c r="B1606" i="34" s="1"/>
  <c r="A1606" i="34" s="1"/>
  <c r="C1607" i="34"/>
  <c r="B1607" i="34" s="1"/>
  <c r="A1607" i="34" s="1"/>
  <c r="B1608" i="34"/>
  <c r="A1608" i="34" s="1"/>
  <c r="C1608" i="34"/>
  <c r="C1609" i="34"/>
  <c r="B1609" i="34" s="1"/>
  <c r="A1609" i="34" s="1"/>
  <c r="C1610" i="34"/>
  <c r="B1610" i="34" s="1"/>
  <c r="A1610" i="34" s="1"/>
  <c r="C1611" i="34"/>
  <c r="B1611" i="34" s="1"/>
  <c r="A1611" i="34" s="1"/>
  <c r="B1612" i="34"/>
  <c r="A1612" i="34" s="1"/>
  <c r="C1612" i="34"/>
  <c r="C1613" i="34"/>
  <c r="B1613" i="34" s="1"/>
  <c r="A1613" i="34" s="1"/>
  <c r="C1614" i="34"/>
  <c r="B1614" i="34" s="1"/>
  <c r="A1614" i="34" s="1"/>
  <c r="C1615" i="34"/>
  <c r="B1615" i="34" s="1"/>
  <c r="A1615" i="34" s="1"/>
  <c r="B1616" i="34"/>
  <c r="A1616" i="34" s="1"/>
  <c r="C1616" i="34"/>
  <c r="C1617" i="34"/>
  <c r="B1617" i="34" s="1"/>
  <c r="A1617" i="34" s="1"/>
  <c r="C1618" i="34"/>
  <c r="B1618" i="34" s="1"/>
  <c r="A1618" i="34" s="1"/>
  <c r="C1619" i="34"/>
  <c r="B1619" i="34" s="1"/>
  <c r="A1619" i="34" s="1"/>
  <c r="B1620" i="34"/>
  <c r="A1620" i="34" s="1"/>
  <c r="C1620" i="34"/>
  <c r="C1621" i="34"/>
  <c r="B1621" i="34" s="1"/>
  <c r="A1621" i="34" s="1"/>
  <c r="C1622" i="34"/>
  <c r="B1622" i="34" s="1"/>
  <c r="A1622" i="34" s="1"/>
  <c r="C1623" i="34"/>
  <c r="B1623" i="34" s="1"/>
  <c r="A1623" i="34" s="1"/>
  <c r="B1624" i="34"/>
  <c r="A1624" i="34" s="1"/>
  <c r="C1624" i="34"/>
  <c r="C1625" i="34"/>
  <c r="B1625" i="34" s="1"/>
  <c r="A1625" i="34" s="1"/>
  <c r="C1626" i="34"/>
  <c r="B1626" i="34" s="1"/>
  <c r="A1626" i="34" s="1"/>
  <c r="C1627" i="34"/>
  <c r="B1627" i="34" s="1"/>
  <c r="A1627" i="34" s="1"/>
  <c r="B1628" i="34"/>
  <c r="A1628" i="34" s="1"/>
  <c r="C1628" i="34"/>
  <c r="A1629" i="34"/>
  <c r="C1629" i="34"/>
  <c r="B1629" i="34" s="1"/>
  <c r="C1630" i="34"/>
  <c r="B1630" i="34" s="1"/>
  <c r="A1630" i="34" s="1"/>
  <c r="C1631" i="34"/>
  <c r="B1631" i="34" s="1"/>
  <c r="A1631" i="34" s="1"/>
  <c r="B1632" i="34"/>
  <c r="A1632" i="34" s="1"/>
  <c r="C1632" i="34"/>
  <c r="C1633" i="34"/>
  <c r="B1633" i="34" s="1"/>
  <c r="A1633" i="34" s="1"/>
  <c r="C1634" i="34"/>
  <c r="B1634" i="34" s="1"/>
  <c r="A1634" i="34" s="1"/>
  <c r="C1635" i="34"/>
  <c r="B1635" i="34" s="1"/>
  <c r="A1635" i="34" s="1"/>
  <c r="B1636" i="34"/>
  <c r="A1636" i="34" s="1"/>
  <c r="C1636" i="34"/>
  <c r="C1637" i="34"/>
  <c r="B1637" i="34" s="1"/>
  <c r="A1637" i="34" s="1"/>
  <c r="C1638" i="34"/>
  <c r="B1638" i="34" s="1"/>
  <c r="A1638" i="34" s="1"/>
  <c r="C1639" i="34"/>
  <c r="B1639" i="34" s="1"/>
  <c r="A1639" i="34" s="1"/>
  <c r="B1640" i="34"/>
  <c r="A1640" i="34" s="1"/>
  <c r="C1640" i="34"/>
  <c r="C1641" i="34"/>
  <c r="B1641" i="34" s="1"/>
  <c r="A1641" i="34" s="1"/>
  <c r="C1642" i="34"/>
  <c r="B1642" i="34" s="1"/>
  <c r="A1642" i="34" s="1"/>
  <c r="C1643" i="34"/>
  <c r="B1643" i="34" s="1"/>
  <c r="A1643" i="34" s="1"/>
  <c r="B1644" i="34"/>
  <c r="A1644" i="34" s="1"/>
  <c r="C1644" i="34"/>
  <c r="C1645" i="34"/>
  <c r="B1645" i="34" s="1"/>
  <c r="A1645" i="34" s="1"/>
  <c r="C1646" i="34"/>
  <c r="B1646" i="34" s="1"/>
  <c r="A1646" i="34" s="1"/>
  <c r="C1647" i="34"/>
  <c r="B1647" i="34" s="1"/>
  <c r="A1647" i="34" s="1"/>
  <c r="B1648" i="34"/>
  <c r="A1648" i="34" s="1"/>
  <c r="C1648" i="34"/>
  <c r="C1649" i="34"/>
  <c r="B1649" i="34" s="1"/>
  <c r="A1649" i="34" s="1"/>
  <c r="C1650" i="34"/>
  <c r="B1650" i="34" s="1"/>
  <c r="A1650" i="34" s="1"/>
  <c r="C1651" i="34"/>
  <c r="B1651" i="34" s="1"/>
  <c r="A1651" i="34" s="1"/>
  <c r="B1652" i="34"/>
  <c r="A1652" i="34" s="1"/>
  <c r="C1652" i="34"/>
  <c r="C1653" i="34"/>
  <c r="B1653" i="34" s="1"/>
  <c r="A1653" i="34" s="1"/>
  <c r="C1654" i="34"/>
  <c r="B1654" i="34" s="1"/>
  <c r="A1654" i="34" s="1"/>
  <c r="C1655" i="34"/>
  <c r="B1655" i="34" s="1"/>
  <c r="A1655" i="34" s="1"/>
  <c r="B1656" i="34"/>
  <c r="A1656" i="34" s="1"/>
  <c r="C1656" i="34"/>
  <c r="C1657" i="34"/>
  <c r="B1657" i="34" s="1"/>
  <c r="A1657" i="34" s="1"/>
  <c r="C1658" i="34"/>
  <c r="B1658" i="34" s="1"/>
  <c r="A1658" i="34" s="1"/>
  <c r="C1659" i="34"/>
  <c r="B1659" i="34" s="1"/>
  <c r="A1659" i="34" s="1"/>
  <c r="B1660" i="34"/>
  <c r="A1660" i="34" s="1"/>
  <c r="C1660" i="34"/>
  <c r="A1661" i="34"/>
  <c r="C1661" i="34"/>
  <c r="B1661" i="34" s="1"/>
  <c r="C1662" i="34"/>
  <c r="B1662" i="34" s="1"/>
  <c r="A1662" i="34" s="1"/>
  <c r="C1663" i="34"/>
  <c r="B1663" i="34" s="1"/>
  <c r="A1663" i="34" s="1"/>
  <c r="B1664" i="34"/>
  <c r="A1664" i="34" s="1"/>
  <c r="C1664" i="34"/>
  <c r="C1665" i="34"/>
  <c r="B1665" i="34" s="1"/>
  <c r="A1665" i="34" s="1"/>
  <c r="C1666" i="34"/>
  <c r="B1666" i="34" s="1"/>
  <c r="A1666" i="34" s="1"/>
  <c r="C1667" i="34"/>
  <c r="B1667" i="34" s="1"/>
  <c r="A1667" i="34" s="1"/>
  <c r="B1668" i="34"/>
  <c r="A1668" i="34" s="1"/>
  <c r="C1668" i="34"/>
  <c r="C1669" i="34"/>
  <c r="B1669" i="34" s="1"/>
  <c r="A1669" i="34" s="1"/>
  <c r="C1670" i="34"/>
  <c r="B1670" i="34" s="1"/>
  <c r="A1670" i="34" s="1"/>
  <c r="C1671" i="34"/>
  <c r="B1671" i="34" s="1"/>
  <c r="A1671" i="34" s="1"/>
  <c r="B1672" i="34"/>
  <c r="A1672" i="34" s="1"/>
  <c r="C1672" i="34"/>
  <c r="C1673" i="34"/>
  <c r="B1673" i="34" s="1"/>
  <c r="A1673" i="34" s="1"/>
  <c r="C1674" i="34"/>
  <c r="B1674" i="34" s="1"/>
  <c r="A1674" i="34" s="1"/>
  <c r="C1675" i="34"/>
  <c r="B1675" i="34" s="1"/>
  <c r="A1675" i="34" s="1"/>
  <c r="B1676" i="34"/>
  <c r="A1676" i="34" s="1"/>
  <c r="C1676" i="34"/>
  <c r="C1677" i="34"/>
  <c r="B1677" i="34" s="1"/>
  <c r="A1677" i="34" s="1"/>
  <c r="C1678" i="34"/>
  <c r="B1678" i="34" s="1"/>
  <c r="A1678" i="34" s="1"/>
  <c r="C1679" i="34"/>
  <c r="B1679" i="34" s="1"/>
  <c r="A1679" i="34" s="1"/>
  <c r="B1680" i="34"/>
  <c r="A1680" i="34" s="1"/>
  <c r="C1680" i="34"/>
  <c r="C1681" i="34"/>
  <c r="B1681" i="34" s="1"/>
  <c r="A1681" i="34" s="1"/>
  <c r="C1682" i="34"/>
  <c r="B1682" i="34" s="1"/>
  <c r="A1682" i="34" s="1"/>
  <c r="C1683" i="34"/>
  <c r="B1683" i="34" s="1"/>
  <c r="A1683" i="34" s="1"/>
  <c r="B1684" i="34"/>
  <c r="A1684" i="34" s="1"/>
  <c r="C1684" i="34"/>
  <c r="C1685" i="34"/>
  <c r="B1685" i="34" s="1"/>
  <c r="A1685" i="34" s="1"/>
  <c r="C1686" i="34"/>
  <c r="B1686" i="34" s="1"/>
  <c r="A1686" i="34" s="1"/>
  <c r="C1687" i="34"/>
  <c r="B1687" i="34" s="1"/>
  <c r="A1687" i="34" s="1"/>
  <c r="B1688" i="34"/>
  <c r="A1688" i="34" s="1"/>
  <c r="C1688" i="34"/>
  <c r="C1689" i="34"/>
  <c r="B1689" i="34" s="1"/>
  <c r="A1689" i="34" s="1"/>
  <c r="C1690" i="34"/>
  <c r="B1690" i="34" s="1"/>
  <c r="A1690" i="34" s="1"/>
  <c r="C1691" i="34"/>
  <c r="B1691" i="34" s="1"/>
  <c r="A1691" i="34" s="1"/>
  <c r="B1692" i="34"/>
  <c r="A1692" i="34" s="1"/>
  <c r="C1692" i="34"/>
  <c r="A1693" i="34"/>
  <c r="C1693" i="34"/>
  <c r="B1693" i="34" s="1"/>
  <c r="C1694" i="34"/>
  <c r="B1694" i="34" s="1"/>
  <c r="A1694" i="34" s="1"/>
  <c r="C1695" i="34"/>
  <c r="B1695" i="34" s="1"/>
  <c r="A1695" i="34" s="1"/>
  <c r="B1696" i="34"/>
  <c r="A1696" i="34" s="1"/>
  <c r="C1696" i="34"/>
  <c r="C1697" i="34"/>
  <c r="B1697" i="34" s="1"/>
  <c r="A1697" i="34" s="1"/>
  <c r="C1698" i="34"/>
  <c r="B1698" i="34" s="1"/>
  <c r="A1698" i="34" s="1"/>
  <c r="C1699" i="34"/>
  <c r="B1699" i="34" s="1"/>
  <c r="A1699" i="34" s="1"/>
  <c r="B1700" i="34"/>
  <c r="A1700" i="34" s="1"/>
  <c r="C1700" i="34"/>
  <c r="C1701" i="34"/>
  <c r="B1701" i="34" s="1"/>
  <c r="A1701" i="34" s="1"/>
  <c r="C1702" i="34"/>
  <c r="B1702" i="34" s="1"/>
  <c r="A1702" i="34" s="1"/>
  <c r="C1703" i="34"/>
  <c r="B1703" i="34" s="1"/>
  <c r="A1703" i="34" s="1"/>
  <c r="B1704" i="34"/>
  <c r="A1704" i="34" s="1"/>
  <c r="C1704" i="34"/>
  <c r="C1705" i="34"/>
  <c r="B1705" i="34" s="1"/>
  <c r="A1705" i="34" s="1"/>
  <c r="C1706" i="34"/>
  <c r="B1706" i="34" s="1"/>
  <c r="A1706" i="34" s="1"/>
  <c r="C1707" i="34"/>
  <c r="B1707" i="34" s="1"/>
  <c r="A1707" i="34" s="1"/>
  <c r="B1708" i="34"/>
  <c r="A1708" i="34" s="1"/>
  <c r="C1708" i="34"/>
  <c r="C1709" i="34"/>
  <c r="B1709" i="34" s="1"/>
  <c r="A1709" i="34" s="1"/>
  <c r="C1710" i="34"/>
  <c r="B1710" i="34" s="1"/>
  <c r="A1710" i="34" s="1"/>
  <c r="C1711" i="34"/>
  <c r="B1711" i="34" s="1"/>
  <c r="A1711" i="34" s="1"/>
  <c r="B1712" i="34"/>
  <c r="A1712" i="34" s="1"/>
  <c r="C1712" i="34"/>
  <c r="C1713" i="34"/>
  <c r="B1713" i="34" s="1"/>
  <c r="A1713" i="34" s="1"/>
  <c r="C1714" i="34"/>
  <c r="B1714" i="34" s="1"/>
  <c r="A1714" i="34" s="1"/>
  <c r="C1715" i="34"/>
  <c r="B1715" i="34" s="1"/>
  <c r="A1715" i="34" s="1"/>
  <c r="B1716" i="34"/>
  <c r="A1716" i="34" s="1"/>
  <c r="C1716" i="34"/>
  <c r="C1717" i="34"/>
  <c r="B1717" i="34" s="1"/>
  <c r="A1717" i="34" s="1"/>
  <c r="B1718" i="34"/>
  <c r="A1718" i="34" s="1"/>
  <c r="C1718" i="34"/>
  <c r="C1719" i="34"/>
  <c r="B1719" i="34" s="1"/>
  <c r="A1719" i="34" s="1"/>
  <c r="B1720" i="34"/>
  <c r="A1720" i="34" s="1"/>
  <c r="C1720" i="34"/>
  <c r="C1721" i="34"/>
  <c r="B1721" i="34" s="1"/>
  <c r="A1721" i="34" s="1"/>
  <c r="C1722" i="34"/>
  <c r="B1722" i="34" s="1"/>
  <c r="A1722" i="34" s="1"/>
  <c r="C1723" i="34"/>
  <c r="B1723" i="34" s="1"/>
  <c r="A1723" i="34" s="1"/>
  <c r="B1724" i="34"/>
  <c r="A1724" i="34" s="1"/>
  <c r="C1724" i="34"/>
  <c r="C1725" i="34"/>
  <c r="B1725" i="34" s="1"/>
  <c r="A1725" i="34" s="1"/>
  <c r="C1726" i="34"/>
  <c r="B1726" i="34" s="1"/>
  <c r="A1726" i="34" s="1"/>
  <c r="C1727" i="34"/>
  <c r="B1727" i="34" s="1"/>
  <c r="A1727" i="34" s="1"/>
  <c r="B1728" i="34"/>
  <c r="A1728" i="34" s="1"/>
  <c r="C1728" i="34"/>
  <c r="C1729" i="34"/>
  <c r="B1729" i="34" s="1"/>
  <c r="A1729" i="34" s="1"/>
  <c r="C1730" i="34"/>
  <c r="B1730" i="34" s="1"/>
  <c r="A1730" i="34" s="1"/>
  <c r="A1731" i="34"/>
  <c r="C1731" i="34"/>
  <c r="B1731" i="34" s="1"/>
  <c r="B1732" i="34"/>
  <c r="A1732" i="34" s="1"/>
  <c r="C1732" i="34"/>
  <c r="A1733" i="34"/>
  <c r="C1733" i="34"/>
  <c r="B1733" i="34" s="1"/>
  <c r="C1734" i="34"/>
  <c r="B1734" i="34" s="1"/>
  <c r="A1734" i="34" s="1"/>
  <c r="C1735" i="34"/>
  <c r="B1735" i="34" s="1"/>
  <c r="A1735" i="34" s="1"/>
  <c r="B1736" i="34"/>
  <c r="A1736" i="34" s="1"/>
  <c r="C1736" i="34"/>
  <c r="B1737" i="34"/>
  <c r="A1737" i="34" s="1"/>
  <c r="C1737" i="34"/>
  <c r="C1738" i="34"/>
  <c r="B1738" i="34" s="1"/>
  <c r="A1738" i="34" s="1"/>
  <c r="C1739" i="34"/>
  <c r="B1739" i="34" s="1"/>
  <c r="A1739" i="34" s="1"/>
  <c r="B1740" i="34"/>
  <c r="A1740" i="34" s="1"/>
  <c r="C1740" i="34"/>
  <c r="C1741" i="34"/>
  <c r="B1741" i="34" s="1"/>
  <c r="A1741" i="34" s="1"/>
  <c r="C1742" i="34"/>
  <c r="B1742" i="34" s="1"/>
  <c r="A1742" i="34" s="1"/>
  <c r="C1743" i="34"/>
  <c r="B1743" i="34" s="1"/>
  <c r="A1743" i="34" s="1"/>
  <c r="A1744" i="34"/>
  <c r="B1744" i="34"/>
  <c r="C1744" i="34"/>
  <c r="C1745" i="34"/>
  <c r="B1745" i="34" s="1"/>
  <c r="A1745" i="34" s="1"/>
  <c r="C1746" i="34"/>
  <c r="B1746" i="34" s="1"/>
  <c r="A1746" i="34" s="1"/>
  <c r="C1747" i="34"/>
  <c r="B1747" i="34" s="1"/>
  <c r="A1747" i="34" s="1"/>
  <c r="C1748" i="34"/>
  <c r="B1748" i="34" s="1"/>
  <c r="A1748" i="34" s="1"/>
  <c r="C1749" i="34"/>
  <c r="B1749" i="34" s="1"/>
  <c r="A1749" i="34" s="1"/>
  <c r="B1750" i="34"/>
  <c r="A1750" i="34" s="1"/>
  <c r="C1750" i="34"/>
  <c r="C1751" i="34"/>
  <c r="B1751" i="34" s="1"/>
  <c r="A1751" i="34" s="1"/>
  <c r="C1752" i="34"/>
  <c r="B1752" i="34" s="1"/>
  <c r="A1752" i="34" s="1"/>
  <c r="C1753" i="34"/>
  <c r="B1753" i="34" s="1"/>
  <c r="A1753" i="34" s="1"/>
  <c r="B1754" i="34"/>
  <c r="A1754" i="34" s="1"/>
  <c r="C1754" i="34"/>
  <c r="C1755" i="34"/>
  <c r="B1755" i="34" s="1"/>
  <c r="A1755" i="34" s="1"/>
  <c r="C1756" i="34"/>
  <c r="B1756" i="34" s="1"/>
  <c r="A1756" i="34" s="1"/>
  <c r="C1757" i="34"/>
  <c r="B1757" i="34" s="1"/>
  <c r="A1757" i="34" s="1"/>
  <c r="B1758" i="34"/>
  <c r="A1758" i="34" s="1"/>
  <c r="C1758" i="34"/>
  <c r="C1759" i="34"/>
  <c r="B1759" i="34" s="1"/>
  <c r="A1759" i="34" s="1"/>
  <c r="C1760" i="34"/>
  <c r="B1760" i="34" s="1"/>
  <c r="A1760" i="34" s="1"/>
  <c r="C1761" i="34"/>
  <c r="B1761" i="34" s="1"/>
  <c r="A1761" i="34" s="1"/>
  <c r="B1762" i="34"/>
  <c r="A1762" i="34" s="1"/>
  <c r="C1762" i="34"/>
  <c r="C1763" i="34"/>
  <c r="B1763" i="34" s="1"/>
  <c r="A1763" i="34" s="1"/>
  <c r="C1764" i="34"/>
  <c r="B1764" i="34" s="1"/>
  <c r="A1764" i="34" s="1"/>
  <c r="C1765" i="34"/>
  <c r="B1765" i="34" s="1"/>
  <c r="A1765" i="34" s="1"/>
  <c r="B1766" i="34"/>
  <c r="A1766" i="34" s="1"/>
  <c r="C1766" i="34"/>
  <c r="C1767" i="34"/>
  <c r="B1767" i="34" s="1"/>
  <c r="A1767" i="34" s="1"/>
  <c r="C1768" i="34"/>
  <c r="B1768" i="34" s="1"/>
  <c r="A1768" i="34" s="1"/>
  <c r="C1769" i="34"/>
  <c r="B1769" i="34" s="1"/>
  <c r="A1769" i="34" s="1"/>
  <c r="B1770" i="34"/>
  <c r="A1770" i="34" s="1"/>
  <c r="C1770" i="34"/>
  <c r="C1771" i="34"/>
  <c r="B1771" i="34" s="1"/>
  <c r="A1771" i="34" s="1"/>
  <c r="C1772" i="34"/>
  <c r="B1772" i="34" s="1"/>
  <c r="A1772" i="34" s="1"/>
  <c r="C1773" i="34"/>
  <c r="B1773" i="34" s="1"/>
  <c r="A1773" i="34" s="1"/>
  <c r="B1774" i="34"/>
  <c r="A1774" i="34" s="1"/>
  <c r="C1774" i="34"/>
  <c r="C1775" i="34"/>
  <c r="B1775" i="34" s="1"/>
  <c r="A1775" i="34" s="1"/>
  <c r="C1776" i="34"/>
  <c r="B1776" i="34" s="1"/>
  <c r="A1776" i="34" s="1"/>
  <c r="C1777" i="34"/>
  <c r="B1777" i="34" s="1"/>
  <c r="A1777" i="34" s="1"/>
  <c r="B1778" i="34"/>
  <c r="A1778" i="34" s="1"/>
  <c r="C1778" i="34"/>
  <c r="C1779" i="34"/>
  <c r="B1779" i="34" s="1"/>
  <c r="A1779" i="34" s="1"/>
  <c r="C1780" i="34"/>
  <c r="B1780" i="34" s="1"/>
  <c r="A1780" i="34" s="1"/>
  <c r="C1781" i="34"/>
  <c r="B1781" i="34" s="1"/>
  <c r="A1781" i="34" s="1"/>
  <c r="B1782" i="34"/>
  <c r="A1782" i="34" s="1"/>
  <c r="C1782" i="34"/>
  <c r="C1783" i="34"/>
  <c r="B1783" i="34" s="1"/>
  <c r="A1783" i="34" s="1"/>
  <c r="C1784" i="34"/>
  <c r="B1784" i="34" s="1"/>
  <c r="A1784" i="34" s="1"/>
  <c r="C1785" i="34"/>
  <c r="B1785" i="34" s="1"/>
  <c r="A1785" i="34" s="1"/>
  <c r="B1786" i="34"/>
  <c r="A1786" i="34" s="1"/>
  <c r="C1786" i="34"/>
  <c r="C1787" i="34"/>
  <c r="B1787" i="34" s="1"/>
  <c r="A1787" i="34" s="1"/>
  <c r="C1788" i="34"/>
  <c r="B1788" i="34" s="1"/>
  <c r="A1788" i="34" s="1"/>
  <c r="C1789" i="34"/>
  <c r="B1789" i="34" s="1"/>
  <c r="A1789" i="34" s="1"/>
  <c r="B1790" i="34"/>
  <c r="A1790" i="34" s="1"/>
  <c r="C1790" i="34"/>
  <c r="C1791" i="34"/>
  <c r="B1791" i="34" s="1"/>
  <c r="A1791" i="34" s="1"/>
  <c r="C1792" i="34"/>
  <c r="B1792" i="34" s="1"/>
  <c r="A1792" i="34" s="1"/>
  <c r="C1793" i="34"/>
  <c r="B1793" i="34" s="1"/>
  <c r="A1793" i="34" s="1"/>
  <c r="B1794" i="34"/>
  <c r="A1794" i="34" s="1"/>
  <c r="C1794" i="34"/>
  <c r="C1795" i="34"/>
  <c r="B1795" i="34" s="1"/>
  <c r="A1795" i="34" s="1"/>
  <c r="C1796" i="34"/>
  <c r="B1796" i="34" s="1"/>
  <c r="A1796" i="34" s="1"/>
  <c r="C1797" i="34"/>
  <c r="B1797" i="34" s="1"/>
  <c r="A1797" i="34" s="1"/>
  <c r="B1798" i="34"/>
  <c r="A1798" i="34" s="1"/>
  <c r="C1798" i="34"/>
  <c r="C1799" i="34"/>
  <c r="B1799" i="34" s="1"/>
  <c r="A1799" i="34" s="1"/>
  <c r="C1800" i="34"/>
  <c r="B1800" i="34" s="1"/>
  <c r="A1800" i="34" s="1"/>
  <c r="C1801" i="34"/>
  <c r="B1801" i="34" s="1"/>
  <c r="A1801" i="34" s="1"/>
  <c r="B1802" i="34"/>
  <c r="A1802" i="34" s="1"/>
  <c r="C1802" i="34"/>
  <c r="C1803" i="34"/>
  <c r="B1803" i="34" s="1"/>
  <c r="A1803" i="34" s="1"/>
  <c r="C1804" i="34"/>
  <c r="B1804" i="34" s="1"/>
  <c r="A1804" i="34" s="1"/>
  <c r="C1805" i="34"/>
  <c r="B1805" i="34" s="1"/>
  <c r="A1805" i="34" s="1"/>
  <c r="B1806" i="34"/>
  <c r="A1806" i="34" s="1"/>
  <c r="C1806" i="34"/>
  <c r="B1807" i="34"/>
  <c r="A1807" i="34" s="1"/>
  <c r="C1807" i="34"/>
  <c r="C1808" i="34"/>
  <c r="B1808" i="34" s="1"/>
  <c r="A1808" i="34" s="1"/>
  <c r="C1809" i="34"/>
  <c r="B1809" i="34" s="1"/>
  <c r="A1809" i="34" s="1"/>
  <c r="B1810" i="34"/>
  <c r="A1810" i="34" s="1"/>
  <c r="C1810" i="34"/>
  <c r="B1811" i="34"/>
  <c r="A1811" i="34" s="1"/>
  <c r="C1811" i="34"/>
  <c r="C1812" i="34"/>
  <c r="B1812" i="34" s="1"/>
  <c r="A1812" i="34" s="1"/>
  <c r="C1813" i="34"/>
  <c r="B1813" i="34" s="1"/>
  <c r="A1813" i="34" s="1"/>
  <c r="B1814" i="34"/>
  <c r="A1814" i="34" s="1"/>
  <c r="C1814" i="34"/>
  <c r="B1815" i="34"/>
  <c r="A1815" i="34" s="1"/>
  <c r="C1815" i="34"/>
  <c r="C1816" i="34"/>
  <c r="B1816" i="34" s="1"/>
  <c r="A1816" i="34" s="1"/>
  <c r="C1817" i="34"/>
  <c r="B1817" i="34" s="1"/>
  <c r="A1817" i="34" s="1"/>
  <c r="B1818" i="34"/>
  <c r="A1818" i="34" s="1"/>
  <c r="C1818" i="34"/>
  <c r="B1819" i="34"/>
  <c r="A1819" i="34" s="1"/>
  <c r="C1819" i="34"/>
  <c r="C1820" i="34"/>
  <c r="B1820" i="34" s="1"/>
  <c r="A1820" i="34" s="1"/>
  <c r="C1821" i="34"/>
  <c r="B1821" i="34" s="1"/>
  <c r="A1821" i="34" s="1"/>
  <c r="B1822" i="34"/>
  <c r="A1822" i="34" s="1"/>
  <c r="C1822" i="34"/>
  <c r="B1823" i="34"/>
  <c r="A1823" i="34" s="1"/>
  <c r="C1823" i="34"/>
  <c r="C1824" i="34"/>
  <c r="B1824" i="34" s="1"/>
  <c r="A1824" i="34" s="1"/>
  <c r="C1825" i="34"/>
  <c r="B1825" i="34" s="1"/>
  <c r="A1825" i="34" s="1"/>
  <c r="B1826" i="34"/>
  <c r="A1826" i="34" s="1"/>
  <c r="C1826" i="34"/>
  <c r="B1827" i="34"/>
  <c r="A1827" i="34" s="1"/>
  <c r="C1827" i="34"/>
  <c r="C1828" i="34"/>
  <c r="B1828" i="34" s="1"/>
  <c r="A1828" i="34" s="1"/>
  <c r="C1829" i="34"/>
  <c r="B1829" i="34" s="1"/>
  <c r="A1829" i="34" s="1"/>
  <c r="B1830" i="34"/>
  <c r="A1830" i="34" s="1"/>
  <c r="C1830" i="34"/>
  <c r="B1831" i="34"/>
  <c r="A1831" i="34" s="1"/>
  <c r="C1831" i="34"/>
  <c r="C1832" i="34"/>
  <c r="B1832" i="34" s="1"/>
  <c r="A1832" i="34" s="1"/>
  <c r="C1833" i="34"/>
  <c r="B1833" i="34" s="1"/>
  <c r="A1833" i="34" s="1"/>
  <c r="B1834" i="34"/>
  <c r="A1834" i="34" s="1"/>
  <c r="C1834" i="34"/>
  <c r="B1835" i="34"/>
  <c r="A1835" i="34" s="1"/>
  <c r="C1835" i="34"/>
  <c r="C1836" i="34"/>
  <c r="B1836" i="34" s="1"/>
  <c r="A1836" i="34" s="1"/>
  <c r="C1837" i="34"/>
  <c r="B1837" i="34" s="1"/>
  <c r="A1837" i="34" s="1"/>
  <c r="B1838" i="34"/>
  <c r="A1838" i="34" s="1"/>
  <c r="C1838" i="34"/>
  <c r="B1839" i="34"/>
  <c r="A1839" i="34" s="1"/>
  <c r="C1839" i="34"/>
  <c r="C1840" i="34"/>
  <c r="B1840" i="34" s="1"/>
  <c r="A1840" i="34" s="1"/>
  <c r="C1841" i="34"/>
  <c r="B1841" i="34" s="1"/>
  <c r="A1841" i="34" s="1"/>
  <c r="B1842" i="34"/>
  <c r="A1842" i="34" s="1"/>
  <c r="C1842" i="34"/>
  <c r="B1843" i="34"/>
  <c r="A1843" i="34" s="1"/>
  <c r="C1843" i="34"/>
  <c r="C1844" i="34"/>
  <c r="B1844" i="34" s="1"/>
  <c r="A1844" i="34" s="1"/>
  <c r="C1845" i="34"/>
  <c r="B1845" i="34" s="1"/>
  <c r="A1845" i="34" s="1"/>
  <c r="B1846" i="34"/>
  <c r="A1846" i="34" s="1"/>
  <c r="C1846" i="34"/>
  <c r="B1847" i="34"/>
  <c r="A1847" i="34" s="1"/>
  <c r="C1847" i="34"/>
  <c r="C1848" i="34"/>
  <c r="B1848" i="34" s="1"/>
  <c r="A1848" i="34" s="1"/>
  <c r="C1849" i="34"/>
  <c r="B1849" i="34" s="1"/>
  <c r="A1849" i="34" s="1"/>
  <c r="B1850" i="34"/>
  <c r="A1850" i="34" s="1"/>
  <c r="C1850" i="34"/>
  <c r="B1851" i="34"/>
  <c r="A1851" i="34" s="1"/>
  <c r="C1851" i="34"/>
  <c r="C1852" i="34"/>
  <c r="B1852" i="34" s="1"/>
  <c r="A1852" i="34" s="1"/>
  <c r="C1853" i="34"/>
  <c r="B1853" i="34" s="1"/>
  <c r="A1853" i="34" s="1"/>
  <c r="B1854" i="34"/>
  <c r="A1854" i="34" s="1"/>
  <c r="C1854" i="34"/>
  <c r="B1855" i="34"/>
  <c r="A1855" i="34" s="1"/>
  <c r="C1855" i="34"/>
  <c r="C1856" i="34"/>
  <c r="B1856" i="34" s="1"/>
  <c r="A1856" i="34" s="1"/>
  <c r="C1857" i="34"/>
  <c r="B1857" i="34" s="1"/>
  <c r="A1857" i="34" s="1"/>
  <c r="B1858" i="34"/>
  <c r="A1858" i="34" s="1"/>
  <c r="C1858" i="34"/>
  <c r="B1859" i="34"/>
  <c r="A1859" i="34" s="1"/>
  <c r="C1859" i="34"/>
  <c r="C1860" i="34"/>
  <c r="B1860" i="34" s="1"/>
  <c r="A1860" i="34" s="1"/>
  <c r="C1861" i="34"/>
  <c r="B1861" i="34" s="1"/>
  <c r="A1861" i="34" s="1"/>
  <c r="B1862" i="34"/>
  <c r="A1862" i="34" s="1"/>
  <c r="C1862" i="34"/>
  <c r="B1863" i="34"/>
  <c r="A1863" i="34" s="1"/>
  <c r="C1863" i="34"/>
  <c r="C1864" i="34"/>
  <c r="B1864" i="34" s="1"/>
  <c r="A1864" i="34" s="1"/>
  <c r="C1865" i="34"/>
  <c r="B1865" i="34" s="1"/>
  <c r="A1865" i="34" s="1"/>
  <c r="B1866" i="34"/>
  <c r="A1866" i="34" s="1"/>
  <c r="C1866" i="34"/>
  <c r="B1867" i="34"/>
  <c r="A1867" i="34" s="1"/>
  <c r="C1867" i="34"/>
  <c r="C1868" i="34"/>
  <c r="B1868" i="34" s="1"/>
  <c r="A1868" i="34" s="1"/>
  <c r="C1869" i="34"/>
  <c r="B1869" i="34" s="1"/>
  <c r="A1869" i="34" s="1"/>
  <c r="B1870" i="34"/>
  <c r="A1870" i="34" s="1"/>
  <c r="C1870" i="34"/>
  <c r="B1871" i="34"/>
  <c r="A1871" i="34" s="1"/>
  <c r="C1871" i="34"/>
  <c r="C1872" i="34"/>
  <c r="B1872" i="34" s="1"/>
  <c r="A1872" i="34" s="1"/>
  <c r="C1873" i="34"/>
  <c r="B1873" i="34" s="1"/>
  <c r="A1873" i="34" s="1"/>
  <c r="B1874" i="34"/>
  <c r="A1874" i="34" s="1"/>
  <c r="C1874" i="34"/>
  <c r="B1875" i="34"/>
  <c r="A1875" i="34" s="1"/>
  <c r="C1875" i="34"/>
  <c r="C1876" i="34"/>
  <c r="B1876" i="34" s="1"/>
  <c r="A1876" i="34" s="1"/>
  <c r="C1877" i="34"/>
  <c r="B1877" i="34" s="1"/>
  <c r="A1877" i="34" s="1"/>
  <c r="B1878" i="34"/>
  <c r="A1878" i="34" s="1"/>
  <c r="C1878" i="34"/>
  <c r="B1879" i="34"/>
  <c r="A1879" i="34" s="1"/>
  <c r="C1879" i="34"/>
  <c r="C1880" i="34"/>
  <c r="B1880" i="34" s="1"/>
  <c r="A1880" i="34" s="1"/>
  <c r="C1881" i="34"/>
  <c r="B1881" i="34" s="1"/>
  <c r="A1881" i="34" s="1"/>
  <c r="B1882" i="34"/>
  <c r="A1882" i="34" s="1"/>
  <c r="C1882" i="34"/>
  <c r="B1883" i="34"/>
  <c r="A1883" i="34" s="1"/>
  <c r="C1883" i="34"/>
  <c r="C1884" i="34"/>
  <c r="B1884" i="34" s="1"/>
  <c r="A1884" i="34" s="1"/>
  <c r="C1885" i="34"/>
  <c r="B1885" i="34" s="1"/>
  <c r="A1885" i="34" s="1"/>
  <c r="B1886" i="34"/>
  <c r="A1886" i="34" s="1"/>
  <c r="C1886" i="34"/>
  <c r="B1887" i="34"/>
  <c r="A1887" i="34" s="1"/>
  <c r="C1887" i="34"/>
  <c r="B1888" i="34"/>
  <c r="A1888" i="34" s="1"/>
  <c r="C1888" i="34"/>
  <c r="A1889" i="34"/>
  <c r="C1889" i="34"/>
  <c r="B1889" i="34" s="1"/>
  <c r="A1890" i="34"/>
  <c r="B1890" i="34"/>
  <c r="C1890" i="34"/>
  <c r="B1891" i="34"/>
  <c r="A1891" i="34" s="1"/>
  <c r="C1891" i="34"/>
  <c r="B1892" i="34"/>
  <c r="A1892" i="34" s="1"/>
  <c r="C1892" i="34"/>
  <c r="A1893" i="34"/>
  <c r="C1893" i="34"/>
  <c r="B1893" i="34" s="1"/>
  <c r="A1894" i="34"/>
  <c r="B1894" i="34"/>
  <c r="C1894" i="34"/>
  <c r="B1895" i="34"/>
  <c r="A1895" i="34" s="1"/>
  <c r="C1895" i="34"/>
  <c r="B1896" i="34"/>
  <c r="A1896" i="34" s="1"/>
  <c r="C1896" i="34"/>
  <c r="A1897" i="34"/>
  <c r="C1897" i="34"/>
  <c r="B1897" i="34" s="1"/>
  <c r="A1898" i="34"/>
  <c r="B1898" i="34"/>
  <c r="C1898" i="34"/>
  <c r="B1899" i="34"/>
  <c r="A1899" i="34" s="1"/>
  <c r="C1899" i="34"/>
  <c r="B1900" i="34"/>
  <c r="A1900" i="34" s="1"/>
  <c r="C1900" i="34"/>
  <c r="A1901" i="34"/>
  <c r="C1901" i="34"/>
  <c r="B1901" i="34" s="1"/>
  <c r="A1902" i="34"/>
  <c r="B1902" i="34"/>
  <c r="C1902" i="34"/>
  <c r="B1903" i="34"/>
  <c r="A1903" i="34" s="1"/>
  <c r="C1903" i="34"/>
  <c r="B1904" i="34"/>
  <c r="A1904" i="34" s="1"/>
  <c r="C1904" i="34"/>
  <c r="A1905" i="34"/>
  <c r="C1905" i="34"/>
  <c r="B1905" i="34" s="1"/>
  <c r="A1906" i="34"/>
  <c r="B1906" i="34"/>
  <c r="C1906" i="34"/>
  <c r="B1907" i="34"/>
  <c r="A1907" i="34" s="1"/>
  <c r="C1907" i="34"/>
  <c r="B1908" i="34"/>
  <c r="A1908" i="34" s="1"/>
  <c r="C1908" i="34"/>
  <c r="A1909" i="34"/>
  <c r="C1909" i="34"/>
  <c r="B1909" i="34" s="1"/>
  <c r="A1910" i="34"/>
  <c r="B1910" i="34"/>
  <c r="C1910" i="34"/>
  <c r="B1911" i="34"/>
  <c r="A1911" i="34" s="1"/>
  <c r="C1911" i="34"/>
  <c r="B1912" i="34"/>
  <c r="A1912" i="34" s="1"/>
  <c r="C1912" i="34"/>
  <c r="A1913" i="34"/>
  <c r="C1913" i="34"/>
  <c r="B1913" i="34" s="1"/>
  <c r="A1914" i="34"/>
  <c r="B1914" i="34"/>
  <c r="C1914" i="34"/>
  <c r="B1915" i="34"/>
  <c r="A1915" i="34" s="1"/>
  <c r="C1915" i="34"/>
  <c r="B1916" i="34"/>
  <c r="A1916" i="34" s="1"/>
  <c r="C1916" i="34"/>
  <c r="A1917" i="34"/>
  <c r="C1917" i="34"/>
  <c r="B1917" i="34" s="1"/>
  <c r="A1918" i="34"/>
  <c r="B1918" i="34"/>
  <c r="C1918" i="34"/>
  <c r="B1919" i="34"/>
  <c r="A1919" i="34" s="1"/>
  <c r="C1919" i="34"/>
  <c r="B1920" i="34"/>
  <c r="A1920" i="34" s="1"/>
  <c r="C1920" i="34"/>
  <c r="A1921" i="34"/>
  <c r="C1921" i="34"/>
  <c r="B1921" i="34" s="1"/>
  <c r="A1922" i="34"/>
  <c r="B1922" i="34"/>
  <c r="C1922" i="34"/>
  <c r="B1923" i="34"/>
  <c r="A1923" i="34" s="1"/>
  <c r="C1923" i="34"/>
  <c r="B1924" i="34"/>
  <c r="A1924" i="34" s="1"/>
  <c r="C1924" i="34"/>
  <c r="A1925" i="34"/>
  <c r="C1925" i="34"/>
  <c r="B1925" i="34" s="1"/>
  <c r="A1926" i="34"/>
  <c r="B1926" i="34"/>
  <c r="C1926" i="34"/>
  <c r="B1927" i="34"/>
  <c r="A1927" i="34" s="1"/>
  <c r="C1927" i="34"/>
  <c r="B1928" i="34"/>
  <c r="A1928" i="34" s="1"/>
  <c r="C1928" i="34"/>
  <c r="A1929" i="34"/>
  <c r="C1929" i="34"/>
  <c r="B1929" i="34" s="1"/>
  <c r="A1930" i="34"/>
  <c r="B1930" i="34"/>
  <c r="C1930" i="34"/>
  <c r="B1931" i="34"/>
  <c r="A1931" i="34" s="1"/>
  <c r="C1931" i="34"/>
  <c r="B1932" i="34"/>
  <c r="A1932" i="34" s="1"/>
  <c r="C1932" i="34"/>
  <c r="A1933" i="34"/>
  <c r="C1933" i="34"/>
  <c r="B1933" i="34" s="1"/>
  <c r="A1934" i="34"/>
  <c r="B1934" i="34"/>
  <c r="C1934" i="34"/>
  <c r="B1935" i="34"/>
  <c r="A1935" i="34" s="1"/>
  <c r="C1935" i="34"/>
  <c r="B1936" i="34"/>
  <c r="A1936" i="34" s="1"/>
  <c r="C1936" i="34"/>
  <c r="A1937" i="34"/>
  <c r="C1937" i="34"/>
  <c r="B1937" i="34" s="1"/>
  <c r="A1938" i="34"/>
  <c r="B1938" i="34"/>
  <c r="C1938" i="34"/>
  <c r="B1939" i="34"/>
  <c r="A1939" i="34" s="1"/>
  <c r="C1939" i="34"/>
  <c r="B1940" i="34"/>
  <c r="A1940" i="34" s="1"/>
  <c r="C1940" i="34"/>
  <c r="A1941" i="34"/>
  <c r="C1941" i="34"/>
  <c r="B1941" i="34" s="1"/>
  <c r="A1942" i="34"/>
  <c r="B1942" i="34"/>
  <c r="C1942" i="34"/>
  <c r="B1943" i="34"/>
  <c r="A1943" i="34" s="1"/>
  <c r="C1943" i="34"/>
  <c r="B1944" i="34"/>
  <c r="A1944" i="34" s="1"/>
  <c r="C1944" i="34"/>
  <c r="A1945" i="34"/>
  <c r="C1945" i="34"/>
  <c r="B1945" i="34" s="1"/>
  <c r="A1946" i="34"/>
  <c r="B1946" i="34"/>
  <c r="C1946" i="34"/>
  <c r="B1947" i="34"/>
  <c r="A1947" i="34" s="1"/>
  <c r="C1947" i="34"/>
  <c r="B1948" i="34"/>
  <c r="A1948" i="34" s="1"/>
  <c r="C1948" i="34"/>
  <c r="A1949" i="34"/>
  <c r="C1949" i="34"/>
  <c r="B1949" i="34" s="1"/>
  <c r="A1950" i="34"/>
  <c r="B1950" i="34"/>
  <c r="C1950" i="34"/>
  <c r="B1951" i="34"/>
  <c r="A1951" i="34" s="1"/>
  <c r="C1951" i="34"/>
  <c r="B1952" i="34"/>
  <c r="A1952" i="34" s="1"/>
  <c r="C1952" i="34"/>
  <c r="A1953" i="34"/>
  <c r="C1953" i="34"/>
  <c r="B1953" i="34" s="1"/>
  <c r="A1954" i="34"/>
  <c r="B1954" i="34"/>
  <c r="C1954" i="34"/>
  <c r="B1955" i="34"/>
  <c r="A1955" i="34" s="1"/>
  <c r="C1955" i="34"/>
  <c r="B1956" i="34"/>
  <c r="A1956" i="34" s="1"/>
  <c r="C1956" i="34"/>
  <c r="A1957" i="34"/>
  <c r="C1957" i="34"/>
  <c r="B1957" i="34" s="1"/>
  <c r="A1958" i="34"/>
  <c r="B1958" i="34"/>
  <c r="C1958" i="34"/>
  <c r="B1959" i="34"/>
  <c r="A1959" i="34" s="1"/>
  <c r="C1959" i="34"/>
  <c r="B1960" i="34"/>
  <c r="A1960" i="34" s="1"/>
  <c r="C1960" i="34"/>
  <c r="A1961" i="34"/>
  <c r="C1961" i="34"/>
  <c r="B1961" i="34" s="1"/>
  <c r="A1962" i="34"/>
  <c r="B1962" i="34"/>
  <c r="C1962" i="34"/>
  <c r="B1963" i="34"/>
  <c r="A1963" i="34" s="1"/>
  <c r="C1963" i="34"/>
  <c r="B1964" i="34"/>
  <c r="A1964" i="34" s="1"/>
  <c r="C1964" i="34"/>
  <c r="A1965" i="34"/>
  <c r="C1965" i="34"/>
  <c r="B1965" i="34" s="1"/>
  <c r="A1966" i="34"/>
  <c r="B1966" i="34"/>
  <c r="C1966" i="34"/>
  <c r="B1967" i="34"/>
  <c r="A1967" i="34" s="1"/>
  <c r="C1967" i="34"/>
  <c r="B1968" i="34"/>
  <c r="A1968" i="34" s="1"/>
  <c r="C1968" i="34"/>
  <c r="A1969" i="34"/>
  <c r="C1969" i="34"/>
  <c r="B1969" i="34" s="1"/>
  <c r="A1970" i="34"/>
  <c r="B1970" i="34"/>
  <c r="C1970" i="34"/>
  <c r="B1971" i="34"/>
  <c r="A1971" i="34" s="1"/>
  <c r="C1971" i="34"/>
  <c r="B1972" i="34"/>
  <c r="A1972" i="34" s="1"/>
  <c r="C1972" i="34"/>
  <c r="A1973" i="34"/>
  <c r="C1973" i="34"/>
  <c r="B1973" i="34" s="1"/>
  <c r="A1974" i="34"/>
  <c r="B1974" i="34"/>
  <c r="C1974" i="34"/>
  <c r="B1975" i="34"/>
  <c r="A1975" i="34" s="1"/>
  <c r="C1975" i="34"/>
  <c r="B1976" i="34"/>
  <c r="A1976" i="34" s="1"/>
  <c r="C1976" i="34"/>
  <c r="A1977" i="34"/>
  <c r="C1977" i="34"/>
  <c r="B1977" i="34" s="1"/>
  <c r="A1978" i="34"/>
  <c r="B1978" i="34"/>
  <c r="C1978" i="34"/>
  <c r="B1979" i="34"/>
  <c r="A1979" i="34" s="1"/>
  <c r="C1979" i="34"/>
  <c r="B1980" i="34"/>
  <c r="A1980" i="34" s="1"/>
  <c r="C1980" i="34"/>
  <c r="A1981" i="34"/>
  <c r="C1981" i="34"/>
  <c r="B1981" i="34" s="1"/>
  <c r="A1982" i="34"/>
  <c r="B1982" i="34"/>
  <c r="C1982" i="34"/>
  <c r="B1983" i="34"/>
  <c r="A1983" i="34" s="1"/>
  <c r="C1983" i="34"/>
  <c r="B1984" i="34"/>
  <c r="A1984" i="34" s="1"/>
  <c r="C1984" i="34"/>
  <c r="A1985" i="34"/>
  <c r="C1985" i="34"/>
  <c r="B1985" i="34" s="1"/>
  <c r="A1986" i="34"/>
  <c r="B1986" i="34"/>
  <c r="C1986" i="34"/>
  <c r="B1987" i="34"/>
  <c r="A1987" i="34" s="1"/>
  <c r="C1987" i="34"/>
  <c r="B1988" i="34"/>
  <c r="A1988" i="34" s="1"/>
  <c r="C1988" i="34"/>
  <c r="A1989" i="34"/>
  <c r="C1989" i="34"/>
  <c r="B1989" i="34" s="1"/>
  <c r="A1990" i="34"/>
  <c r="B1990" i="34"/>
  <c r="C1990" i="34"/>
  <c r="B1991" i="34"/>
  <c r="A1991" i="34" s="1"/>
  <c r="C1991" i="34"/>
  <c r="B1992" i="34"/>
  <c r="A1992" i="34" s="1"/>
  <c r="C1992" i="34"/>
  <c r="A1993" i="34"/>
  <c r="C1993" i="34"/>
  <c r="B1993" i="34" s="1"/>
  <c r="A1994" i="34"/>
  <c r="B1994" i="34"/>
  <c r="C1994" i="34"/>
  <c r="B1995" i="34"/>
  <c r="A1995" i="34" s="1"/>
  <c r="C1995" i="34"/>
  <c r="B1996" i="34"/>
  <c r="A1996" i="34" s="1"/>
  <c r="C1996" i="34"/>
  <c r="A1997" i="34"/>
  <c r="C1997" i="34"/>
  <c r="B1997" i="34" s="1"/>
  <c r="A1998" i="34"/>
  <c r="B1998" i="34"/>
  <c r="C1998" i="34"/>
  <c r="B1999" i="34"/>
  <c r="A1999" i="34" s="1"/>
  <c r="C1999" i="34"/>
  <c r="B2000" i="34"/>
  <c r="A2000" i="34" s="1"/>
  <c r="C2000" i="34"/>
  <c r="A2001" i="34"/>
  <c r="C2001" i="34"/>
  <c r="B2001" i="34" s="1"/>
  <c r="A2002" i="34"/>
  <c r="B2002" i="34"/>
  <c r="C2002" i="34"/>
  <c r="B2003" i="34"/>
  <c r="A2003" i="34" s="1"/>
  <c r="C2003" i="34"/>
  <c r="B2004" i="34"/>
  <c r="A2004" i="34" s="1"/>
  <c r="C2004" i="34"/>
  <c r="A2005" i="34"/>
  <c r="C2005" i="34"/>
  <c r="B2005" i="34" s="1"/>
  <c r="A2006" i="34"/>
  <c r="B2006" i="34"/>
  <c r="C2006" i="34"/>
  <c r="B2007" i="34"/>
  <c r="A2007" i="34" s="1"/>
  <c r="C2007" i="34"/>
  <c r="B2008" i="34"/>
  <c r="A2008" i="34" s="1"/>
  <c r="C2008" i="34"/>
  <c r="A2009" i="34"/>
  <c r="C2009" i="34"/>
  <c r="B2009" i="34" s="1"/>
  <c r="A2010" i="34"/>
  <c r="B2010" i="34"/>
  <c r="C2010" i="34"/>
  <c r="B2011" i="34"/>
  <c r="A2011" i="34" s="1"/>
  <c r="C2011" i="34"/>
  <c r="B2012" i="34"/>
  <c r="A2012" i="34" s="1"/>
  <c r="C2012" i="34"/>
  <c r="A2013" i="34"/>
  <c r="C2013" i="34"/>
  <c r="B2013" i="34" s="1"/>
  <c r="A2014" i="34"/>
  <c r="B2014" i="34"/>
  <c r="C2014" i="34"/>
  <c r="B2015" i="34"/>
  <c r="A2015" i="34" s="1"/>
  <c r="C2015" i="34"/>
  <c r="B2016" i="34"/>
  <c r="A2016" i="34" s="1"/>
  <c r="C2016" i="34"/>
  <c r="A2017" i="34"/>
  <c r="C2017" i="34"/>
  <c r="B2017" i="34" s="1"/>
  <c r="A2018" i="34"/>
  <c r="B2018" i="34"/>
  <c r="C2018" i="34"/>
  <c r="B2019" i="34"/>
  <c r="A2019" i="34" s="1"/>
  <c r="C2019" i="34"/>
  <c r="B2020" i="34"/>
  <c r="A2020" i="34" s="1"/>
  <c r="C2020" i="34"/>
  <c r="A2021" i="34"/>
  <c r="C2021" i="34"/>
  <c r="B2021" i="34" s="1"/>
  <c r="A2022" i="34"/>
  <c r="B2022" i="34"/>
  <c r="C2022" i="34"/>
  <c r="B2023" i="34"/>
  <c r="A2023" i="34" s="1"/>
  <c r="C2023" i="34"/>
  <c r="B2024" i="34"/>
  <c r="A2024" i="34" s="1"/>
  <c r="C2024" i="34"/>
  <c r="A2025" i="34"/>
  <c r="C2025" i="34"/>
  <c r="B2025" i="34" s="1"/>
  <c r="A2026" i="34"/>
  <c r="B2026" i="34"/>
  <c r="C2026" i="34"/>
  <c r="B2027" i="34"/>
  <c r="A2027" i="34" s="1"/>
  <c r="C2027" i="34"/>
  <c r="B2028" i="34"/>
  <c r="A2028" i="34" s="1"/>
  <c r="C2028" i="34"/>
  <c r="A2029" i="34"/>
  <c r="C2029" i="34"/>
  <c r="B2029" i="34" s="1"/>
  <c r="A2030" i="34"/>
  <c r="B2030" i="34"/>
  <c r="C2030" i="34"/>
  <c r="B2031" i="34"/>
  <c r="A2031" i="34" s="1"/>
  <c r="C2031" i="34"/>
  <c r="B2032" i="34"/>
  <c r="A2032" i="34" s="1"/>
  <c r="C2032" i="34"/>
  <c r="A2033" i="34"/>
  <c r="C2033" i="34"/>
  <c r="B2033" i="34" s="1"/>
  <c r="A2034" i="34"/>
  <c r="B2034" i="34"/>
  <c r="C2034" i="34"/>
  <c r="B2035" i="34"/>
  <c r="A2035" i="34" s="1"/>
  <c r="C2035" i="34"/>
  <c r="B2036" i="34"/>
  <c r="A2036" i="34" s="1"/>
  <c r="C2036" i="34"/>
  <c r="A2037" i="34"/>
  <c r="C2037" i="34"/>
  <c r="B2037" i="34" s="1"/>
  <c r="A2038" i="34"/>
  <c r="B2038" i="34"/>
  <c r="C2038" i="34"/>
  <c r="B2039" i="34"/>
  <c r="A2039" i="34" s="1"/>
  <c r="C2039" i="34"/>
  <c r="B2040" i="34"/>
  <c r="A2040" i="34" s="1"/>
  <c r="C2040" i="34"/>
  <c r="A2041" i="34"/>
  <c r="C2041" i="34"/>
  <c r="B2041" i="34" s="1"/>
  <c r="A2068" i="34"/>
  <c r="B2068" i="34"/>
  <c r="C2068" i="34"/>
  <c r="B2069" i="34"/>
  <c r="A2069" i="34" s="1"/>
  <c r="C2069" i="34"/>
  <c r="B2070" i="34"/>
  <c r="A2070" i="34" s="1"/>
  <c r="C2070" i="34"/>
  <c r="A2071" i="34"/>
  <c r="C2071" i="34"/>
  <c r="B2071" i="34" s="1"/>
  <c r="A2072" i="34"/>
  <c r="B2072" i="34"/>
  <c r="C2072" i="34"/>
  <c r="B2073" i="34"/>
  <c r="A2073" i="34" s="1"/>
  <c r="C2073" i="34"/>
  <c r="B2074" i="34"/>
  <c r="A2074" i="34" s="1"/>
  <c r="C2074" i="34"/>
  <c r="A2075" i="34"/>
  <c r="C2075" i="34"/>
  <c r="B2075" i="34" s="1"/>
  <c r="A2076" i="34"/>
  <c r="B2076" i="34"/>
  <c r="C2076" i="34"/>
  <c r="B2077" i="34"/>
  <c r="A2077" i="34" s="1"/>
  <c r="C2077" i="34"/>
  <c r="B2078" i="34"/>
  <c r="A2078" i="34" s="1"/>
  <c r="C2078" i="34"/>
  <c r="A2079" i="34"/>
  <c r="C2079" i="34"/>
  <c r="B2079" i="34" s="1"/>
  <c r="A2080" i="34"/>
  <c r="B2080" i="34"/>
  <c r="C2080" i="34"/>
  <c r="B2081" i="34"/>
  <c r="A2081" i="34" s="1"/>
  <c r="C2081" i="34"/>
  <c r="B2082" i="34"/>
  <c r="A2082" i="34" s="1"/>
  <c r="C2082" i="34"/>
  <c r="A2083" i="34"/>
  <c r="C2083" i="34"/>
  <c r="B2083" i="34" s="1"/>
  <c r="A2084" i="34"/>
  <c r="B2084" i="34"/>
  <c r="C2084" i="34"/>
  <c r="B2085" i="34"/>
  <c r="A2085" i="34" s="1"/>
  <c r="C2085" i="34"/>
  <c r="B2086" i="34"/>
  <c r="A2086" i="34" s="1"/>
  <c r="C2086" i="34"/>
  <c r="A2087" i="34"/>
  <c r="C2087" i="34"/>
  <c r="B2087" i="34" s="1"/>
  <c r="A2088" i="34"/>
  <c r="B2088" i="34"/>
  <c r="C2088" i="34"/>
  <c r="B2089" i="34"/>
  <c r="A2089" i="34" s="1"/>
  <c r="C2089" i="34"/>
  <c r="B2090" i="34"/>
  <c r="A2090" i="34" s="1"/>
  <c r="C2090" i="34"/>
  <c r="A2091" i="34"/>
  <c r="C2091" i="34"/>
  <c r="B2091" i="34" s="1"/>
  <c r="A2092" i="34"/>
  <c r="B2092" i="34"/>
  <c r="C2092" i="34"/>
  <c r="B2093" i="34"/>
  <c r="A2093" i="34" s="1"/>
  <c r="C2093" i="34"/>
  <c r="B2094" i="34"/>
  <c r="A2094" i="34" s="1"/>
  <c r="C2094" i="34"/>
  <c r="A2095" i="34"/>
  <c r="C2095" i="34"/>
  <c r="B2095" i="34" s="1"/>
  <c r="A2096" i="34"/>
  <c r="B2096" i="34"/>
  <c r="C2096" i="34"/>
  <c r="B2097" i="34"/>
  <c r="A2097" i="34" s="1"/>
  <c r="C2097" i="34"/>
  <c r="B2098" i="34"/>
  <c r="A2098" i="34" s="1"/>
  <c r="C2098" i="34"/>
  <c r="A2099" i="34"/>
  <c r="C2099" i="34"/>
  <c r="B2099" i="34" s="1"/>
  <c r="A2100" i="34"/>
  <c r="B2100" i="34"/>
  <c r="C2100" i="34"/>
  <c r="B2101" i="34"/>
  <c r="A2101" i="34" s="1"/>
  <c r="C2101" i="34"/>
  <c r="B2102" i="34"/>
  <c r="A2102" i="34" s="1"/>
  <c r="C2102" i="34"/>
  <c r="A2103" i="34"/>
  <c r="C2103" i="34"/>
  <c r="B2103" i="34" s="1"/>
  <c r="A2104" i="34"/>
  <c r="B2104" i="34"/>
  <c r="C2104" i="34"/>
  <c r="B2105" i="34"/>
  <c r="A2105" i="34" s="1"/>
  <c r="C2105" i="34"/>
  <c r="B2106" i="34"/>
  <c r="A2106" i="34" s="1"/>
  <c r="C2106" i="34"/>
  <c r="A2107" i="34"/>
  <c r="C2107" i="34"/>
  <c r="B2107" i="34" s="1"/>
  <c r="A2108" i="34"/>
  <c r="B2108" i="34"/>
  <c r="C2108" i="34"/>
  <c r="B2109" i="34"/>
  <c r="A2109" i="34" s="1"/>
  <c r="C2109" i="34"/>
  <c r="B2110" i="34"/>
  <c r="A2110" i="34" s="1"/>
  <c r="C2110" i="34"/>
  <c r="A2111" i="34"/>
  <c r="C2111" i="34"/>
  <c r="B2111" i="34" s="1"/>
  <c r="A2112" i="34"/>
  <c r="B2112" i="34"/>
  <c r="C2112" i="34"/>
  <c r="B2113" i="34"/>
  <c r="A2113" i="34" s="1"/>
  <c r="C2113" i="34"/>
  <c r="B2114" i="34"/>
  <c r="A2114" i="34" s="1"/>
  <c r="C2114" i="34"/>
  <c r="A2115" i="34"/>
  <c r="C2115" i="34"/>
  <c r="B2115" i="34" s="1"/>
  <c r="A2116" i="34"/>
  <c r="B2116" i="34"/>
  <c r="C2116" i="34"/>
  <c r="B2117" i="34"/>
  <c r="A2117" i="34" s="1"/>
  <c r="C2117" i="34"/>
  <c r="B2118" i="34"/>
  <c r="A2118" i="34" s="1"/>
  <c r="C2118" i="34"/>
  <c r="A2119" i="34"/>
  <c r="C2119" i="34"/>
  <c r="B2119" i="34" s="1"/>
  <c r="A2120" i="34"/>
  <c r="B2120" i="34"/>
  <c r="C2120" i="34"/>
  <c r="B2121" i="34"/>
  <c r="A2121" i="34" s="1"/>
  <c r="C2121" i="34"/>
  <c r="B2122" i="34"/>
  <c r="A2122" i="34" s="1"/>
  <c r="C2122" i="34"/>
  <c r="A2123" i="34"/>
  <c r="C2123" i="34"/>
  <c r="B2123" i="34" s="1"/>
  <c r="A2124" i="34"/>
  <c r="B2124" i="34"/>
  <c r="C2124" i="34"/>
  <c r="B2125" i="34"/>
  <c r="A2125" i="34" s="1"/>
  <c r="C2125" i="34"/>
  <c r="B2126" i="34"/>
  <c r="A2126" i="34" s="1"/>
  <c r="C2126" i="34"/>
  <c r="A2127" i="34"/>
  <c r="C2127" i="34"/>
  <c r="B2127" i="34" s="1"/>
  <c r="A2128" i="34"/>
  <c r="B2128" i="34"/>
  <c r="C2128" i="34"/>
  <c r="B2129" i="34"/>
  <c r="A2129" i="34" s="1"/>
  <c r="C2129" i="34"/>
  <c r="B2130" i="34"/>
  <c r="A2130" i="34" s="1"/>
  <c r="C2130" i="34"/>
  <c r="A2131" i="34"/>
  <c r="C2131" i="34"/>
  <c r="B2131" i="34" s="1"/>
  <c r="A2132" i="34"/>
  <c r="B2132" i="34"/>
  <c r="C2132" i="34"/>
  <c r="B2133" i="34"/>
  <c r="A2133" i="34" s="1"/>
  <c r="C2133" i="34"/>
  <c r="B2134" i="34"/>
  <c r="A2134" i="34" s="1"/>
  <c r="C2134" i="34"/>
  <c r="A2135" i="34"/>
  <c r="C2135" i="34"/>
  <c r="B2135" i="34" s="1"/>
  <c r="A2136" i="34"/>
  <c r="B2136" i="34"/>
  <c r="C2136" i="34"/>
  <c r="B2137" i="34"/>
  <c r="A2137" i="34" s="1"/>
  <c r="C2137" i="34"/>
  <c r="B2138" i="34"/>
  <c r="A2138" i="34" s="1"/>
  <c r="C2138" i="34"/>
  <c r="A2139" i="34"/>
  <c r="C2139" i="34"/>
  <c r="B2139" i="34" s="1"/>
  <c r="A2140" i="34"/>
  <c r="B2140" i="34"/>
  <c r="C2140" i="34"/>
  <c r="B2141" i="34"/>
  <c r="A2141" i="34" s="1"/>
  <c r="C2141" i="34"/>
  <c r="B2142" i="34"/>
  <c r="A2142" i="34" s="1"/>
  <c r="C2142" i="34"/>
  <c r="A2143" i="34"/>
  <c r="C2143" i="34"/>
  <c r="B2143" i="34" s="1"/>
  <c r="A2144" i="34"/>
  <c r="B2144" i="34"/>
  <c r="C2144" i="34"/>
  <c r="B2145" i="34"/>
  <c r="A2145" i="34" s="1"/>
  <c r="C2145" i="34"/>
  <c r="B2146" i="34"/>
  <c r="A2146" i="34" s="1"/>
  <c r="C2146" i="34"/>
  <c r="A2147" i="34"/>
  <c r="C2147" i="34"/>
  <c r="B2147" i="34" s="1"/>
  <c r="A2148" i="34"/>
  <c r="B2148" i="34"/>
  <c r="C2148" i="34"/>
  <c r="B2149" i="34"/>
  <c r="A2149" i="34" s="1"/>
  <c r="C2149" i="34"/>
  <c r="B2150" i="34"/>
  <c r="A2150" i="34" s="1"/>
  <c r="C2150" i="34"/>
  <c r="A2151" i="34"/>
  <c r="C2151" i="34"/>
  <c r="B2151" i="34" s="1"/>
  <c r="A2152" i="34"/>
  <c r="B2152" i="34"/>
  <c r="C2152" i="34"/>
  <c r="B2153" i="34"/>
  <c r="A2153" i="34" s="1"/>
  <c r="C2153" i="34"/>
  <c r="B2154" i="34"/>
  <c r="A2154" i="34" s="1"/>
  <c r="C2154" i="34"/>
  <c r="A2155" i="34"/>
  <c r="C2155" i="34"/>
  <c r="B2155" i="34" s="1"/>
  <c r="A2156" i="34"/>
  <c r="B2156" i="34"/>
  <c r="C2156" i="34"/>
  <c r="B2157" i="34"/>
  <c r="A2157" i="34" s="1"/>
  <c r="C2157" i="34"/>
  <c r="B2158" i="34"/>
  <c r="A2158" i="34" s="1"/>
  <c r="C2158" i="34"/>
  <c r="A2159" i="34"/>
  <c r="C2159" i="34"/>
  <c r="B2159" i="34" s="1"/>
  <c r="A2160" i="34"/>
  <c r="B2160" i="34"/>
  <c r="C2160" i="34"/>
  <c r="B2161" i="34"/>
  <c r="A2161" i="34" s="1"/>
  <c r="C2161" i="34"/>
  <c r="B2162" i="34"/>
  <c r="A2162" i="34" s="1"/>
  <c r="C2162" i="34"/>
  <c r="A2163" i="34"/>
  <c r="C2163" i="34"/>
  <c r="B2163" i="34" s="1"/>
  <c r="A2164" i="34"/>
  <c r="B2164" i="34"/>
  <c r="C2164" i="34"/>
  <c r="B2165" i="34"/>
  <c r="A2165" i="34" s="1"/>
  <c r="C2165" i="34"/>
  <c r="B2166" i="34"/>
  <c r="A2166" i="34" s="1"/>
  <c r="C2166" i="34"/>
  <c r="A2167" i="34"/>
  <c r="C2167" i="34"/>
  <c r="B2167" i="34" s="1"/>
  <c r="A2168" i="34"/>
  <c r="B2168" i="34"/>
  <c r="C2168" i="34"/>
  <c r="B2169" i="34"/>
  <c r="A2169" i="34" s="1"/>
  <c r="C2169" i="34"/>
  <c r="B2170" i="34"/>
  <c r="A2170" i="34" s="1"/>
  <c r="C2170" i="34"/>
  <c r="A2171" i="34"/>
  <c r="C2171" i="34"/>
  <c r="B2171" i="34" s="1"/>
  <c r="A2172" i="34"/>
  <c r="B2172" i="34"/>
  <c r="C2172" i="34"/>
  <c r="B2173" i="34"/>
  <c r="A2173" i="34" s="1"/>
  <c r="C2173" i="34"/>
  <c r="B2174" i="34"/>
  <c r="A2174" i="34" s="1"/>
  <c r="C2174" i="34"/>
  <c r="A2175" i="34"/>
  <c r="C2175" i="34"/>
  <c r="B2175" i="34" s="1"/>
  <c r="A2176" i="34"/>
  <c r="B2176" i="34"/>
  <c r="C2176" i="34"/>
  <c r="B2177" i="34"/>
  <c r="A2177" i="34" s="1"/>
  <c r="C2177" i="34"/>
  <c r="B2178" i="34"/>
  <c r="A2178" i="34" s="1"/>
  <c r="C2178" i="34"/>
  <c r="A2179" i="34"/>
  <c r="C2179" i="34"/>
  <c r="B2179" i="34" s="1"/>
  <c r="A2180" i="34"/>
  <c r="B2180" i="34"/>
  <c r="C2180" i="34"/>
  <c r="B2181" i="34"/>
  <c r="A2181" i="34" s="1"/>
  <c r="C2181" i="34"/>
  <c r="B2182" i="34"/>
  <c r="A2182" i="34" s="1"/>
  <c r="C2182" i="34"/>
  <c r="A2183" i="34"/>
  <c r="C2183" i="34"/>
  <c r="B2183" i="34" s="1"/>
  <c r="A2184" i="34"/>
  <c r="B2184" i="34"/>
  <c r="C2184" i="34"/>
  <c r="B2185" i="34"/>
  <c r="A2185" i="34" s="1"/>
  <c r="C2185" i="34"/>
  <c r="B2186" i="34"/>
  <c r="A2186" i="34" s="1"/>
  <c r="C2186" i="34"/>
  <c r="A2187" i="34"/>
  <c r="C2187" i="34"/>
  <c r="B2187" i="34" s="1"/>
  <c r="A2188" i="34"/>
  <c r="B2188" i="34"/>
  <c r="C2188" i="34"/>
  <c r="B2189" i="34"/>
  <c r="A2189" i="34" s="1"/>
  <c r="C2189" i="34"/>
  <c r="B2190" i="34"/>
  <c r="A2190" i="34" s="1"/>
  <c r="C2190" i="34"/>
  <c r="A2191" i="34"/>
  <c r="C2191" i="34"/>
  <c r="B2191" i="34" s="1"/>
  <c r="A2192" i="34"/>
  <c r="B2192" i="34"/>
  <c r="C2192" i="34"/>
  <c r="B2193" i="34"/>
  <c r="A2193" i="34" s="1"/>
  <c r="C2193" i="34"/>
  <c r="B2194" i="34"/>
  <c r="A2194" i="34" s="1"/>
  <c r="C2194" i="34"/>
  <c r="A2195" i="34"/>
  <c r="C2195" i="34"/>
  <c r="B2195" i="34" s="1"/>
  <c r="C2196" i="34"/>
  <c r="B2196" i="34" s="1"/>
  <c r="A2196" i="34" s="1"/>
  <c r="B2197" i="34"/>
  <c r="A2197" i="34" s="1"/>
  <c r="C2197" i="34"/>
  <c r="C2198" i="34"/>
  <c r="B2198" i="34" s="1"/>
  <c r="A2198" i="34" s="1"/>
  <c r="B2199" i="34"/>
  <c r="A2199" i="34" s="1"/>
  <c r="C2199" i="34"/>
  <c r="C2200" i="34"/>
  <c r="B2200" i="34" s="1"/>
  <c r="A2200" i="34" s="1"/>
  <c r="B2201" i="34"/>
  <c r="A2201" i="34" s="1"/>
  <c r="C2201" i="34"/>
  <c r="C2202" i="34"/>
  <c r="B2202" i="34" s="1"/>
  <c r="A2202" i="34" s="1"/>
  <c r="B2203" i="34"/>
  <c r="A2203" i="34" s="1"/>
  <c r="C2203" i="34"/>
  <c r="C2204" i="34"/>
  <c r="B2204" i="34" s="1"/>
  <c r="A2204" i="34" s="1"/>
  <c r="B2205" i="34"/>
  <c r="A2205" i="34" s="1"/>
  <c r="C2205" i="34"/>
  <c r="C2206" i="34"/>
  <c r="B2206" i="34" s="1"/>
  <c r="A2206" i="34" s="1"/>
  <c r="B2207" i="34"/>
  <c r="A2207" i="34" s="1"/>
  <c r="C2207" i="34"/>
  <c r="C2208" i="34"/>
  <c r="B2208" i="34" s="1"/>
  <c r="A2208" i="34" s="1"/>
  <c r="B2209" i="34"/>
  <c r="A2209" i="34" s="1"/>
  <c r="C2209" i="34"/>
  <c r="C2210" i="34"/>
  <c r="B2210" i="34" s="1"/>
  <c r="A2210" i="34" s="1"/>
  <c r="B2211" i="34"/>
  <c r="A2211" i="34" s="1"/>
  <c r="C2211" i="34"/>
  <c r="C2212" i="34"/>
  <c r="B2212" i="34" s="1"/>
  <c r="A2212" i="34" s="1"/>
  <c r="B2213" i="34"/>
  <c r="A2213" i="34" s="1"/>
  <c r="C2213" i="34"/>
  <c r="C2214" i="34"/>
  <c r="B2214" i="34" s="1"/>
  <c r="A2214" i="34" s="1"/>
  <c r="B2215" i="34"/>
  <c r="A2215" i="34" s="1"/>
  <c r="C2215" i="34"/>
  <c r="C2216" i="34"/>
  <c r="B2216" i="34" s="1"/>
  <c r="A2216" i="34" s="1"/>
  <c r="B2217" i="34"/>
  <c r="A2217" i="34" s="1"/>
  <c r="C2217" i="34"/>
  <c r="C2218" i="34"/>
  <c r="B2218" i="34" s="1"/>
  <c r="A2218" i="34" s="1"/>
  <c r="B2219" i="34"/>
  <c r="A2219" i="34" s="1"/>
  <c r="C2219" i="34"/>
  <c r="C2220" i="34"/>
  <c r="B2220" i="34" s="1"/>
  <c r="A2220" i="34" s="1"/>
  <c r="B2221" i="34"/>
  <c r="A2221" i="34" s="1"/>
  <c r="C2221" i="34"/>
  <c r="C2222" i="34"/>
  <c r="B2222" i="34" s="1"/>
  <c r="A2222" i="34" s="1"/>
  <c r="B2223" i="34"/>
  <c r="A2223" i="34" s="1"/>
  <c r="C2223" i="34"/>
  <c r="C2224" i="34"/>
  <c r="B2224" i="34" s="1"/>
  <c r="A2224" i="34" s="1"/>
  <c r="B2225" i="34"/>
  <c r="A2225" i="34" s="1"/>
  <c r="C2225" i="34"/>
  <c r="C2226" i="34"/>
  <c r="B2226" i="34" s="1"/>
  <c r="A2226" i="34" s="1"/>
  <c r="B2227" i="34"/>
  <c r="A2227" i="34" s="1"/>
  <c r="C2227" i="34"/>
  <c r="C2228" i="34"/>
  <c r="B2228" i="34" s="1"/>
  <c r="A2228" i="34" s="1"/>
  <c r="B2229" i="34"/>
  <c r="A2229" i="34" s="1"/>
  <c r="C2229" i="34"/>
  <c r="C2230" i="34"/>
  <c r="B2230" i="34" s="1"/>
  <c r="A2230" i="34" s="1"/>
  <c r="B2231" i="34"/>
  <c r="A2231" i="34" s="1"/>
  <c r="C2231" i="34"/>
  <c r="C2232" i="34"/>
  <c r="B2232" i="34" s="1"/>
  <c r="A2232" i="34" s="1"/>
  <c r="B2233" i="34"/>
  <c r="A2233" i="34" s="1"/>
  <c r="C2233" i="34"/>
  <c r="C2234" i="34"/>
  <c r="B2234" i="34" s="1"/>
  <c r="A2234" i="34" s="1"/>
  <c r="B2235" i="34"/>
  <c r="A2235" i="34" s="1"/>
  <c r="C2235" i="34"/>
  <c r="C2236" i="34"/>
  <c r="B2236" i="34" s="1"/>
  <c r="A2236" i="34" s="1"/>
  <c r="B2237" i="34"/>
  <c r="A2237" i="34" s="1"/>
  <c r="C2237" i="34"/>
  <c r="C2238" i="34"/>
  <c r="B2238" i="34" s="1"/>
  <c r="A2238" i="34" s="1"/>
  <c r="B2239" i="34"/>
  <c r="A2239" i="34" s="1"/>
  <c r="C2239" i="34"/>
  <c r="C2240" i="34"/>
  <c r="B2240" i="34" s="1"/>
  <c r="A2240" i="34" s="1"/>
  <c r="B2241" i="34"/>
  <c r="A2241" i="34" s="1"/>
  <c r="C2241" i="34"/>
  <c r="C2242" i="34"/>
  <c r="B2242" i="34" s="1"/>
  <c r="A2242" i="34" s="1"/>
  <c r="B2243" i="34"/>
  <c r="A2243" i="34" s="1"/>
  <c r="C2243" i="34"/>
  <c r="C2244" i="34"/>
  <c r="B2244" i="34" s="1"/>
  <c r="A2244" i="34" s="1"/>
  <c r="B2245" i="34"/>
  <c r="A2245" i="34" s="1"/>
  <c r="C2245" i="34"/>
  <c r="C2246" i="34"/>
  <c r="B2246" i="34" s="1"/>
  <c r="A2246" i="34" s="1"/>
  <c r="B2247" i="34"/>
  <c r="A2247" i="34" s="1"/>
  <c r="C2247" i="34"/>
  <c r="C2248" i="34"/>
  <c r="B2248" i="34" s="1"/>
  <c r="A2248" i="34" s="1"/>
  <c r="B2249" i="34"/>
  <c r="A2249" i="34" s="1"/>
  <c r="C2249" i="34"/>
  <c r="C2250" i="34"/>
  <c r="B2250" i="34" s="1"/>
  <c r="A2250" i="34" s="1"/>
  <c r="B2251" i="34"/>
  <c r="A2251" i="34" s="1"/>
  <c r="C2251" i="34"/>
  <c r="C2252" i="34"/>
  <c r="B2252" i="34" s="1"/>
  <c r="A2252" i="34" s="1"/>
  <c r="B2253" i="34"/>
  <c r="A2253" i="34" s="1"/>
  <c r="C2253" i="34"/>
  <c r="C2254" i="34"/>
  <c r="B2254" i="34" s="1"/>
  <c r="A2254" i="34" s="1"/>
  <c r="B2255" i="34"/>
  <c r="A2255" i="34" s="1"/>
  <c r="C2255" i="34"/>
  <c r="C2256" i="34"/>
  <c r="B2256" i="34" s="1"/>
  <c r="A2256" i="34" s="1"/>
  <c r="B2257" i="34"/>
  <c r="A2257" i="34" s="1"/>
  <c r="C2257" i="34"/>
  <c r="C2258" i="34"/>
  <c r="B2258" i="34" s="1"/>
  <c r="A2258" i="34" s="1"/>
  <c r="B2259" i="34"/>
  <c r="A2259" i="34" s="1"/>
  <c r="C2259" i="34"/>
  <c r="C2260" i="34"/>
  <c r="B2260" i="34" s="1"/>
  <c r="A2260" i="34" s="1"/>
  <c r="B2261" i="34"/>
  <c r="A2261" i="34" s="1"/>
  <c r="C2261" i="34"/>
  <c r="C2262" i="34"/>
  <c r="B2262" i="34" s="1"/>
  <c r="A2262" i="34" s="1"/>
  <c r="B2263" i="34"/>
  <c r="A2263" i="34" s="1"/>
  <c r="C2263" i="34"/>
  <c r="C2264" i="34"/>
  <c r="B2264" i="34" s="1"/>
  <c r="A2264" i="34" s="1"/>
  <c r="B2265" i="34"/>
  <c r="A2265" i="34" s="1"/>
  <c r="C2265" i="34"/>
  <c r="C2266" i="34"/>
  <c r="B2266" i="34" s="1"/>
  <c r="A2266" i="34" s="1"/>
  <c r="B2267" i="34"/>
  <c r="A2267" i="34" s="1"/>
  <c r="C2267" i="34"/>
  <c r="C2268" i="34"/>
  <c r="B2268" i="34" s="1"/>
  <c r="A2268" i="34" s="1"/>
  <c r="B2269" i="34"/>
  <c r="A2269" i="34" s="1"/>
  <c r="C2269" i="34"/>
  <c r="C2270" i="34"/>
  <c r="B2270" i="34" s="1"/>
  <c r="A2270" i="34" s="1"/>
  <c r="B2271" i="34"/>
  <c r="A2271" i="34" s="1"/>
  <c r="C2271" i="34"/>
  <c r="C2272" i="34"/>
  <c r="B2272" i="34" s="1"/>
  <c r="A2272" i="34" s="1"/>
  <c r="B2273" i="34"/>
  <c r="A2273" i="34" s="1"/>
  <c r="C2273" i="34"/>
  <c r="C2274" i="34"/>
  <c r="B2274" i="34" s="1"/>
  <c r="A2274" i="34" s="1"/>
  <c r="B2275" i="34"/>
  <c r="A2275" i="34" s="1"/>
  <c r="C2275" i="34"/>
  <c r="C2276" i="34"/>
  <c r="B2276" i="34" s="1"/>
  <c r="A2276" i="34" s="1"/>
  <c r="B2277" i="34"/>
  <c r="A2277" i="34" s="1"/>
  <c r="C2277" i="34"/>
  <c r="C2278" i="34"/>
  <c r="B2278" i="34" s="1"/>
  <c r="A2278" i="34" s="1"/>
  <c r="B2279" i="34"/>
  <c r="A2279" i="34" s="1"/>
  <c r="C2279" i="34"/>
  <c r="C2280" i="34"/>
  <c r="B2280" i="34" s="1"/>
  <c r="A2280" i="34" s="1"/>
  <c r="B2281" i="34"/>
  <c r="A2281" i="34" s="1"/>
  <c r="C2281" i="34"/>
  <c r="C2282" i="34"/>
  <c r="B2282" i="34" s="1"/>
  <c r="A2282" i="34" s="1"/>
  <c r="B2283" i="34"/>
  <c r="A2283" i="34" s="1"/>
  <c r="C2283" i="34"/>
  <c r="C2284" i="34"/>
  <c r="B2284" i="34" s="1"/>
  <c r="A2284" i="34" s="1"/>
  <c r="B2285" i="34"/>
  <c r="A2285" i="34" s="1"/>
  <c r="C2285" i="34"/>
  <c r="C2286" i="34"/>
  <c r="B2286" i="34" s="1"/>
  <c r="A2286" i="34" s="1"/>
  <c r="B2287" i="34"/>
  <c r="A2287" i="34" s="1"/>
  <c r="C2287" i="34"/>
  <c r="C2288" i="34"/>
  <c r="B2288" i="34" s="1"/>
  <c r="A2288" i="34" s="1"/>
  <c r="B2289" i="34"/>
  <c r="A2289" i="34" s="1"/>
  <c r="C2289" i="34"/>
  <c r="C2290" i="34"/>
  <c r="B2290" i="34" s="1"/>
  <c r="A2290" i="34" s="1"/>
  <c r="B2291" i="34"/>
  <c r="A2291" i="34" s="1"/>
  <c r="C2291" i="34"/>
  <c r="C2292" i="34"/>
  <c r="B2292" i="34" s="1"/>
  <c r="A2292" i="34" s="1"/>
  <c r="B2293" i="34"/>
  <c r="A2293" i="34" s="1"/>
  <c r="C2293" i="34"/>
  <c r="C2294" i="34"/>
  <c r="B2294" i="34" s="1"/>
  <c r="A2294" i="34" s="1"/>
  <c r="B2295" i="34"/>
  <c r="A2295" i="34" s="1"/>
  <c r="C2295" i="34"/>
  <c r="C2296" i="34"/>
  <c r="B2296" i="34" s="1"/>
  <c r="A2296" i="34" s="1"/>
  <c r="B2297" i="34"/>
  <c r="A2297" i="34" s="1"/>
  <c r="C2297" i="34"/>
  <c r="C2298" i="34"/>
  <c r="B2298" i="34" s="1"/>
  <c r="A2298" i="34" s="1"/>
  <c r="B2299" i="34"/>
  <c r="A2299" i="34" s="1"/>
  <c r="C2299" i="34"/>
  <c r="C2300" i="34"/>
  <c r="B2300" i="34" s="1"/>
  <c r="A2300" i="34" s="1"/>
  <c r="B2301" i="34"/>
  <c r="A2301" i="34" s="1"/>
  <c r="C2301" i="34"/>
  <c r="C2302" i="34"/>
  <c r="B2302" i="34" s="1"/>
  <c r="A2302" i="34" s="1"/>
  <c r="B2303" i="34"/>
  <c r="A2303" i="34" s="1"/>
  <c r="C2303" i="34"/>
  <c r="C2304" i="34"/>
  <c r="B2304" i="34" s="1"/>
  <c r="A2304" i="34" s="1"/>
  <c r="B2305" i="34"/>
  <c r="A2305" i="34" s="1"/>
  <c r="C2305" i="34"/>
  <c r="C2306" i="34"/>
  <c r="B2306" i="34" s="1"/>
  <c r="A2306" i="34" s="1"/>
  <c r="B2307" i="34"/>
  <c r="A2307" i="34" s="1"/>
  <c r="C2307" i="34"/>
  <c r="C2308" i="34"/>
  <c r="B2308" i="34" s="1"/>
  <c r="A2308" i="34" s="1"/>
  <c r="B2309" i="34"/>
  <c r="A2309" i="34" s="1"/>
  <c r="C2309" i="34"/>
  <c r="C2310" i="34"/>
  <c r="B2310" i="34" s="1"/>
  <c r="A2310" i="34" s="1"/>
  <c r="B2311" i="34"/>
  <c r="A2311" i="34" s="1"/>
  <c r="C2311" i="34"/>
  <c r="C2312" i="34"/>
  <c r="B2312" i="34" s="1"/>
  <c r="A2312" i="34" s="1"/>
  <c r="B2313" i="34"/>
  <c r="A2313" i="34" s="1"/>
  <c r="C2313" i="34"/>
  <c r="C2314" i="34"/>
  <c r="B2314" i="34" s="1"/>
  <c r="A2314" i="34" s="1"/>
  <c r="B2315" i="34"/>
  <c r="A2315" i="34" s="1"/>
  <c r="C2315" i="34"/>
  <c r="C2316" i="34"/>
  <c r="B2316" i="34" s="1"/>
  <c r="A2316" i="34" s="1"/>
  <c r="B2317" i="34"/>
  <c r="A2317" i="34" s="1"/>
  <c r="C2317" i="34"/>
  <c r="C2318" i="34"/>
  <c r="B2318" i="34" s="1"/>
  <c r="A2318" i="34" s="1"/>
  <c r="B2319" i="34"/>
  <c r="A2319" i="34" s="1"/>
  <c r="C2319" i="34"/>
  <c r="C2320" i="34"/>
  <c r="B2320" i="34" s="1"/>
  <c r="A2320" i="34" s="1"/>
  <c r="B2321" i="34"/>
  <c r="A2321" i="34" s="1"/>
  <c r="C2321" i="34"/>
  <c r="C2322" i="34"/>
  <c r="B2322" i="34" s="1"/>
  <c r="A2322" i="34" s="1"/>
  <c r="B2323" i="34"/>
  <c r="A2323" i="34" s="1"/>
  <c r="C2323" i="34"/>
  <c r="C2324" i="34"/>
  <c r="B2324" i="34" s="1"/>
  <c r="A2324" i="34" s="1"/>
  <c r="B2325" i="34"/>
  <c r="A2325" i="34" s="1"/>
  <c r="C2325" i="34"/>
  <c r="C2326" i="34"/>
  <c r="B2326" i="34" s="1"/>
  <c r="A2326" i="34" s="1"/>
  <c r="B2327" i="34"/>
  <c r="A2327" i="34" s="1"/>
  <c r="C2327" i="34"/>
  <c r="C2328" i="34"/>
  <c r="B2328" i="34" s="1"/>
  <c r="A2328" i="34" s="1"/>
  <c r="B2329" i="34"/>
  <c r="A2329" i="34" s="1"/>
  <c r="C2329" i="34"/>
  <c r="C2330" i="34"/>
  <c r="B2330" i="34" s="1"/>
  <c r="A2330" i="34" s="1"/>
  <c r="B2331" i="34"/>
  <c r="A2331" i="34" s="1"/>
  <c r="C2331" i="34"/>
  <c r="C2332" i="34"/>
  <c r="B2332" i="34" s="1"/>
  <c r="A2332" i="34" s="1"/>
  <c r="B2333" i="34"/>
  <c r="A2333" i="34" s="1"/>
  <c r="C2333" i="34"/>
  <c r="C2334" i="34"/>
  <c r="B2334" i="34" s="1"/>
  <c r="A2334" i="34" s="1"/>
  <c r="B2335" i="34"/>
  <c r="A2335" i="34" s="1"/>
  <c r="C2335" i="34"/>
  <c r="C2336" i="34"/>
  <c r="B2336" i="34" s="1"/>
  <c r="A2336" i="34" s="1"/>
  <c r="B2337" i="34"/>
  <c r="A2337" i="34" s="1"/>
  <c r="C2337" i="34"/>
  <c r="C2338" i="34"/>
  <c r="B2338" i="34" s="1"/>
  <c r="A2338" i="34" s="1"/>
  <c r="B2339" i="34"/>
  <c r="A2339" i="34" s="1"/>
  <c r="C2339" i="34"/>
  <c r="C2340" i="34"/>
  <c r="B2340" i="34" s="1"/>
  <c r="A2340" i="34" s="1"/>
  <c r="B2341" i="34"/>
  <c r="A2341" i="34" s="1"/>
  <c r="C2341" i="34"/>
  <c r="C2342" i="34"/>
  <c r="B2342" i="34" s="1"/>
  <c r="A2342" i="34" s="1"/>
  <c r="B2343" i="34"/>
  <c r="A2343" i="34" s="1"/>
  <c r="C2343" i="34"/>
  <c r="C2344" i="34"/>
  <c r="B2344" i="34" s="1"/>
  <c r="A2344" i="34" s="1"/>
  <c r="B2345" i="34"/>
  <c r="A2345" i="34" s="1"/>
  <c r="C2345" i="34"/>
  <c r="C2346" i="34"/>
  <c r="B2346" i="34" s="1"/>
  <c r="A2346" i="34" s="1"/>
  <c r="B2347" i="34"/>
  <c r="A2347" i="34" s="1"/>
  <c r="C2347" i="34"/>
  <c r="C2348" i="34"/>
  <c r="B2348" i="34" s="1"/>
  <c r="A2348" i="34" s="1"/>
  <c r="B2349" i="34"/>
  <c r="A2349" i="34" s="1"/>
  <c r="C2349" i="34"/>
  <c r="C2350" i="34"/>
  <c r="B2350" i="34" s="1"/>
  <c r="A2350" i="34" s="1"/>
  <c r="B2351" i="34"/>
  <c r="A2351" i="34" s="1"/>
  <c r="C2351" i="34"/>
  <c r="C2352" i="34"/>
  <c r="B2352" i="34" s="1"/>
  <c r="A2352" i="34" s="1"/>
  <c r="B2353" i="34"/>
  <c r="A2353" i="34" s="1"/>
  <c r="C2353" i="34"/>
  <c r="C2354" i="34"/>
  <c r="B2354" i="34" s="1"/>
  <c r="A2354" i="34" s="1"/>
  <c r="B2355" i="34"/>
  <c r="A2355" i="34" s="1"/>
  <c r="C2355" i="34"/>
  <c r="C2356" i="34"/>
  <c r="B2356" i="34" s="1"/>
  <c r="A2356" i="34" s="1"/>
  <c r="B2357" i="34"/>
  <c r="A2357" i="34" s="1"/>
  <c r="C2357" i="34"/>
  <c r="C2358" i="34"/>
  <c r="B2358" i="34" s="1"/>
  <c r="A2358" i="34" s="1"/>
  <c r="B2359" i="34"/>
  <c r="A2359" i="34" s="1"/>
  <c r="C2359" i="34"/>
  <c r="C2360" i="34"/>
  <c r="B2360" i="34" s="1"/>
  <c r="A2360" i="34" s="1"/>
  <c r="B2361" i="34"/>
  <c r="A2361" i="34" s="1"/>
  <c r="C2361" i="34"/>
  <c r="C2362" i="34"/>
  <c r="B2362" i="34" s="1"/>
  <c r="A2362" i="34" s="1"/>
  <c r="B2363" i="34"/>
  <c r="A2363" i="34" s="1"/>
  <c r="C2363" i="34"/>
  <c r="C2364" i="34"/>
  <c r="B2364" i="34" s="1"/>
  <c r="A2364" i="34" s="1"/>
  <c r="B2365" i="34"/>
  <c r="A2365" i="34" s="1"/>
  <c r="C2365" i="34"/>
  <c r="C2366" i="34"/>
  <c r="B2366" i="34" s="1"/>
  <c r="A2366" i="34" s="1"/>
  <c r="B2367" i="34"/>
  <c r="A2367" i="34" s="1"/>
  <c r="C2367" i="34"/>
  <c r="C2368" i="34"/>
  <c r="B2368" i="34" s="1"/>
  <c r="A2368" i="34" s="1"/>
  <c r="P2398" i="34"/>
  <c r="P2399" i="34"/>
  <c r="P2400" i="34"/>
  <c r="P2401" i="34"/>
  <c r="P2402" i="34"/>
  <c r="P2403" i="34"/>
  <c r="P2404" i="34"/>
  <c r="P2405" i="34"/>
  <c r="P2406" i="34"/>
  <c r="P2407" i="34"/>
  <c r="P2408" i="34"/>
  <c r="P2409" i="34"/>
  <c r="P2410" i="34"/>
  <c r="P2411" i="34"/>
  <c r="P2412" i="34"/>
  <c r="P2413" i="34"/>
  <c r="P2414" i="34"/>
  <c r="P2415" i="34"/>
  <c r="P2416" i="34"/>
  <c r="P2417" i="34"/>
  <c r="P2418" i="34"/>
  <c r="P2419" i="34"/>
  <c r="P2420" i="34"/>
  <c r="P2421" i="34"/>
  <c r="M2073" i="34"/>
  <c r="M2072" i="34"/>
  <c r="M2071" i="34"/>
  <c r="M2070" i="34"/>
  <c r="M2069" i="34"/>
  <c r="M2068" i="34"/>
  <c r="M2077" i="34"/>
  <c r="M2076" i="34"/>
  <c r="M2075" i="34"/>
  <c r="M2074" i="34"/>
  <c r="A35" i="12"/>
  <c r="J1898" i="34"/>
  <c r="J1899" i="34"/>
  <c r="J1900" i="34"/>
  <c r="J1897" i="34"/>
  <c r="M2078" i="34"/>
  <c r="S2043" i="34" l="1"/>
  <c r="R2043" i="34"/>
  <c r="Q2043" i="34"/>
  <c r="A2043" i="34"/>
  <c r="S2047" i="34"/>
  <c r="R2047" i="34"/>
  <c r="Q2047" i="34"/>
  <c r="A2047" i="34"/>
  <c r="S2051" i="34"/>
  <c r="R2051" i="34"/>
  <c r="Q2051" i="34"/>
  <c r="A2051" i="34"/>
  <c r="S2042" i="34"/>
  <c r="R2042" i="34"/>
  <c r="Q2042" i="34"/>
  <c r="A2042" i="34"/>
  <c r="S2046" i="34"/>
  <c r="R2046" i="34"/>
  <c r="Q2046" i="34"/>
  <c r="A2046" i="34"/>
  <c r="S2050" i="34"/>
  <c r="R2050" i="34"/>
  <c r="Q2050" i="34"/>
  <c r="A2050" i="34"/>
  <c r="S2054" i="34"/>
  <c r="R2054" i="34"/>
  <c r="Q2054" i="34"/>
  <c r="A2054" i="34"/>
  <c r="S2045" i="34"/>
  <c r="R2045" i="34"/>
  <c r="Q2045" i="34"/>
  <c r="A2045" i="34"/>
  <c r="S2049" i="34"/>
  <c r="R2049" i="34"/>
  <c r="Q2049" i="34"/>
  <c r="A2049" i="34"/>
  <c r="S2053" i="34"/>
  <c r="R2053" i="34"/>
  <c r="Q2053" i="34"/>
  <c r="A2053" i="34"/>
  <c r="S2044" i="34"/>
  <c r="R2044" i="34"/>
  <c r="Q2044" i="34"/>
  <c r="A2044" i="34"/>
  <c r="S2048" i="34"/>
  <c r="R2048" i="34"/>
  <c r="Q2048" i="34"/>
  <c r="A2048" i="34"/>
  <c r="S2052" i="34"/>
  <c r="R2052" i="34"/>
  <c r="Q2052" i="34"/>
  <c r="A2052" i="34"/>
  <c r="S2056" i="34"/>
  <c r="R2056" i="34"/>
  <c r="Q2056" i="34"/>
  <c r="A2056" i="34"/>
  <c r="S2060" i="34"/>
  <c r="R2060" i="34"/>
  <c r="Q2060" i="34"/>
  <c r="A2060" i="34"/>
  <c r="S2064" i="34"/>
  <c r="R2064" i="34"/>
  <c r="Q2064" i="34"/>
  <c r="A2064" i="34"/>
  <c r="S2055" i="34"/>
  <c r="R2055" i="34"/>
  <c r="Q2055" i="34"/>
  <c r="A2055" i="34"/>
  <c r="S2059" i="34"/>
  <c r="R2059" i="34"/>
  <c r="Q2059" i="34"/>
  <c r="A2059" i="34"/>
  <c r="S2063" i="34"/>
  <c r="R2063" i="34"/>
  <c r="Q2063" i="34"/>
  <c r="A2063" i="34"/>
  <c r="S2067" i="34"/>
  <c r="R2067" i="34"/>
  <c r="Q2067" i="34"/>
  <c r="A2067" i="34"/>
  <c r="S2058" i="34"/>
  <c r="R2058" i="34"/>
  <c r="Q2058" i="34"/>
  <c r="A2058" i="34"/>
  <c r="S2062" i="34"/>
  <c r="R2062" i="34"/>
  <c r="Q2062" i="34"/>
  <c r="A2062" i="34"/>
  <c r="S2066" i="34"/>
  <c r="R2066" i="34"/>
  <c r="Q2066" i="34"/>
  <c r="A2066" i="34"/>
  <c r="S2057" i="34"/>
  <c r="R2057" i="34"/>
  <c r="Q2057" i="34"/>
  <c r="A2057" i="34"/>
  <c r="S2061" i="34"/>
  <c r="R2061" i="34"/>
  <c r="Q2061" i="34"/>
  <c r="A2061" i="34"/>
  <c r="S2065" i="34"/>
  <c r="R2065" i="34"/>
  <c r="Q2065" i="34"/>
  <c r="A2065" i="34"/>
  <c r="S2081" i="34"/>
  <c r="R2081" i="34"/>
  <c r="Q2081" i="34"/>
  <c r="M2079" i="34"/>
  <c r="M2080" i="34"/>
  <c r="M2081" i="34"/>
  <c r="M2082" i="34"/>
  <c r="M2083" i="34"/>
  <c r="M2084" i="34"/>
  <c r="M2085" i="34"/>
  <c r="M2086" i="34"/>
  <c r="M2087" i="34"/>
  <c r="M2088" i="34"/>
  <c r="M2089" i="34"/>
  <c r="M2090" i="34"/>
  <c r="M2091" i="34"/>
  <c r="M2092" i="34"/>
  <c r="M2093" i="34"/>
  <c r="M2094" i="34"/>
  <c r="M2095" i="34"/>
  <c r="M2096" i="34"/>
  <c r="M2097" i="34"/>
  <c r="M2098" i="34"/>
  <c r="M2099" i="34"/>
  <c r="M2100" i="34"/>
  <c r="M2101" i="34"/>
  <c r="M2102" i="34"/>
  <c r="M2103" i="34"/>
  <c r="M2104" i="34"/>
  <c r="M2105" i="34"/>
  <c r="M2106" i="34"/>
  <c r="M2107" i="34"/>
  <c r="M2108" i="34"/>
  <c r="M2109" i="34"/>
  <c r="M2110" i="34"/>
  <c r="M2111" i="34"/>
  <c r="M2112" i="34"/>
  <c r="M2113" i="34"/>
  <c r="M2114" i="34"/>
  <c r="M2115" i="34"/>
  <c r="M2116" i="34"/>
  <c r="M2117" i="34"/>
  <c r="M2118" i="34"/>
  <c r="M2119" i="34"/>
  <c r="M2120" i="34"/>
  <c r="M2121" i="34"/>
  <c r="M2122" i="34"/>
  <c r="M2123" i="34"/>
  <c r="M2124" i="34"/>
  <c r="M2125" i="34"/>
  <c r="M2126" i="34"/>
  <c r="M2127" i="34"/>
  <c r="M2128" i="34"/>
  <c r="M2129" i="34"/>
  <c r="M2130" i="34"/>
  <c r="M2131" i="34"/>
  <c r="M2132" i="34"/>
  <c r="M2133" i="34"/>
  <c r="M2134" i="34"/>
  <c r="M2135" i="34"/>
  <c r="M2136" i="34"/>
  <c r="M2137" i="34"/>
  <c r="M2138" i="34"/>
  <c r="M2139" i="34"/>
  <c r="M2140" i="34"/>
  <c r="M2141" i="34"/>
  <c r="M2142" i="34"/>
  <c r="M2143" i="34"/>
  <c r="M2144" i="34"/>
  <c r="M2145" i="34"/>
  <c r="M2146" i="34"/>
  <c r="M2147" i="34"/>
  <c r="M2148" i="34"/>
  <c r="M2149" i="34"/>
  <c r="M2150" i="34"/>
  <c r="M2151" i="34"/>
  <c r="M2152" i="34"/>
  <c r="M2153" i="34"/>
  <c r="M2154" i="34"/>
  <c r="M2155" i="34"/>
  <c r="M2156" i="34"/>
  <c r="M2157" i="34"/>
  <c r="M2158" i="34"/>
  <c r="M2159" i="34"/>
  <c r="M2160" i="34"/>
  <c r="M2161" i="34"/>
  <c r="M2162" i="34"/>
  <c r="M2163" i="34"/>
  <c r="M2164" i="34"/>
  <c r="M2165" i="34"/>
  <c r="M2166" i="34"/>
  <c r="M2167" i="34"/>
  <c r="M2168" i="34"/>
  <c r="M2169" i="34"/>
  <c r="M2170" i="34"/>
  <c r="M2171" i="34"/>
  <c r="M2172" i="34"/>
  <c r="M2173" i="34"/>
  <c r="M2174" i="34"/>
  <c r="M2175" i="34"/>
  <c r="M2176" i="34"/>
  <c r="M2177" i="34"/>
  <c r="M2178" i="34"/>
  <c r="M2179" i="34"/>
  <c r="M2180" i="34"/>
  <c r="M2181" i="34"/>
  <c r="M2182" i="34"/>
  <c r="M2183" i="34"/>
  <c r="M2184" i="34"/>
  <c r="M2185" i="34"/>
  <c r="M2186" i="34"/>
  <c r="M2187" i="34"/>
  <c r="M2188" i="34"/>
  <c r="M2189" i="34"/>
  <c r="M2190" i="34"/>
  <c r="M2191" i="34"/>
  <c r="M2192" i="34"/>
  <c r="M2193" i="34"/>
  <c r="M2194" i="34"/>
  <c r="M2195" i="34"/>
  <c r="M2196" i="34"/>
  <c r="M2197" i="34"/>
  <c r="M2198" i="34"/>
  <c r="M2199" i="34"/>
  <c r="M2200" i="34"/>
  <c r="M2201" i="34"/>
  <c r="M2202" i="34"/>
  <c r="M2203" i="34"/>
  <c r="M2204" i="34"/>
  <c r="M2205" i="34"/>
  <c r="M2206" i="34"/>
  <c r="M2207" i="34"/>
  <c r="M2208" i="34"/>
  <c r="M2209" i="34"/>
  <c r="M2210" i="34"/>
  <c r="M2211" i="34"/>
  <c r="M2212" i="34"/>
  <c r="M2213" i="34"/>
  <c r="M2214" i="34"/>
  <c r="M2215" i="34"/>
  <c r="M2216" i="34"/>
  <c r="M2217" i="34"/>
  <c r="M2218" i="34"/>
  <c r="M2219" i="34"/>
  <c r="M2220" i="34"/>
  <c r="M2221" i="34"/>
  <c r="M2222" i="34"/>
  <c r="M2223" i="34"/>
  <c r="M2224" i="34"/>
  <c r="M2225" i="34"/>
  <c r="M2226" i="34"/>
  <c r="M2227" i="34"/>
  <c r="M2228" i="34"/>
  <c r="M2229" i="34"/>
  <c r="M2230" i="34"/>
  <c r="M2231" i="34"/>
  <c r="M2232" i="34"/>
  <c r="M2233" i="34"/>
  <c r="M2234" i="34"/>
  <c r="M2235" i="34"/>
  <c r="M2236" i="34"/>
  <c r="M2237" i="34"/>
  <c r="M2238" i="34"/>
  <c r="M2239" i="34"/>
  <c r="M2240" i="34"/>
  <c r="M2241" i="34"/>
  <c r="M2242" i="34"/>
  <c r="M2243" i="34"/>
  <c r="M2244" i="34"/>
  <c r="M2245" i="34"/>
  <c r="M2246" i="34"/>
  <c r="M2247" i="34"/>
  <c r="M2248" i="34"/>
  <c r="M2249" i="34"/>
  <c r="M2250" i="34"/>
  <c r="M2251" i="34"/>
  <c r="M2252" i="34"/>
  <c r="M2253" i="34"/>
  <c r="M2254" i="34"/>
  <c r="M2255" i="34"/>
  <c r="M2256" i="34"/>
  <c r="M2257" i="34"/>
  <c r="M2258" i="34"/>
  <c r="M2259" i="34"/>
  <c r="M2260" i="34"/>
  <c r="M2261" i="34"/>
  <c r="M2262" i="34"/>
  <c r="M2263" i="34"/>
  <c r="M2264" i="34"/>
  <c r="M2265" i="34"/>
  <c r="M2266" i="34"/>
  <c r="M2267" i="34"/>
  <c r="M2268" i="34"/>
  <c r="M2269" i="34"/>
  <c r="M2270" i="34"/>
  <c r="M2271" i="34"/>
  <c r="M2272" i="34"/>
  <c r="M2273" i="34"/>
  <c r="M2274" i="34"/>
  <c r="M2275" i="34"/>
  <c r="M2276" i="34"/>
  <c r="M2277" i="34"/>
  <c r="M2278" i="34"/>
  <c r="M2279" i="34"/>
  <c r="M2280" i="34"/>
  <c r="M2281" i="34"/>
  <c r="M2282" i="34"/>
  <c r="M2283" i="34"/>
  <c r="M2284" i="34"/>
  <c r="M2285" i="34"/>
  <c r="M2286" i="34"/>
  <c r="M2287" i="34"/>
  <c r="M2288" i="34"/>
  <c r="M2289" i="34"/>
  <c r="M2290" i="34"/>
  <c r="M2291" i="34"/>
  <c r="M2292" i="34"/>
  <c r="M2293" i="34"/>
  <c r="M2294" i="34"/>
  <c r="M2295" i="34"/>
  <c r="M2296" i="34"/>
  <c r="M2297" i="34"/>
  <c r="M2298" i="34"/>
  <c r="M2299" i="34"/>
  <c r="M2300" i="34"/>
  <c r="M2301" i="34"/>
  <c r="M2302" i="34"/>
  <c r="M2303" i="34"/>
  <c r="M2304" i="34"/>
  <c r="M2305" i="34"/>
  <c r="M2306" i="34"/>
  <c r="M2307" i="34"/>
  <c r="M2308" i="34"/>
  <c r="M2309" i="34"/>
  <c r="M2310" i="34"/>
  <c r="M2311" i="34"/>
  <c r="M2312" i="34"/>
  <c r="M2313" i="34"/>
  <c r="M2314" i="34"/>
  <c r="M2315" i="34"/>
  <c r="M2316" i="34"/>
  <c r="M2317" i="34"/>
  <c r="M2318" i="34"/>
  <c r="M2319" i="34"/>
  <c r="M2320" i="34"/>
  <c r="M2321" i="34"/>
  <c r="M2322" i="34"/>
  <c r="M2323" i="34"/>
  <c r="M2324" i="34"/>
  <c r="M2325" i="34"/>
  <c r="M2326" i="34"/>
  <c r="M2327" i="34"/>
  <c r="M2328" i="34"/>
  <c r="M2329" i="34"/>
  <c r="M2330" i="34"/>
  <c r="M2331" i="34"/>
  <c r="M2332" i="34"/>
  <c r="M2333" i="34"/>
  <c r="M2334" i="34"/>
  <c r="M2335" i="34"/>
  <c r="M2336" i="34"/>
  <c r="M2337" i="34"/>
  <c r="M2338" i="34"/>
  <c r="M2339" i="34"/>
  <c r="M2340" i="34"/>
  <c r="M2341" i="34"/>
  <c r="M2342" i="34"/>
  <c r="M2343" i="34"/>
  <c r="M2344" i="34"/>
  <c r="M2345" i="34"/>
  <c r="M2346" i="34"/>
  <c r="M2347" i="34"/>
  <c r="M2348" i="34"/>
  <c r="M2349" i="34"/>
  <c r="M2350" i="34"/>
  <c r="M2351" i="34"/>
  <c r="M2352" i="34"/>
  <c r="M2353" i="34"/>
  <c r="M2354" i="34"/>
  <c r="M2355" i="34"/>
  <c r="M2356" i="34"/>
  <c r="M2357" i="34"/>
  <c r="M2358" i="34"/>
  <c r="M2359" i="34"/>
  <c r="M2360" i="34"/>
  <c r="M2361" i="34"/>
  <c r="M2362" i="34"/>
  <c r="M2363" i="34"/>
  <c r="M2364" i="34"/>
  <c r="M2365" i="34"/>
  <c r="M2366" i="34"/>
  <c r="M2367" i="34"/>
  <c r="M2368" i="34"/>
  <c r="M2369" i="34"/>
  <c r="M2370" i="34"/>
  <c r="M2371" i="34"/>
  <c r="M2372" i="34"/>
  <c r="M2373" i="34"/>
  <c r="M2374" i="34"/>
  <c r="M2375" i="34"/>
  <c r="M2376" i="34"/>
  <c r="M2377" i="34"/>
  <c r="M2378" i="34"/>
  <c r="M2379" i="34"/>
  <c r="M2380" i="34"/>
  <c r="M2381" i="34"/>
  <c r="M2382" i="34"/>
  <c r="M2383" i="34"/>
  <c r="M2384" i="34"/>
  <c r="M2385" i="34"/>
  <c r="M2386" i="34"/>
  <c r="M2387" i="34"/>
  <c r="M2388" i="34"/>
  <c r="M2389" i="34"/>
  <c r="M2390" i="34"/>
  <c r="M2391" i="34"/>
  <c r="M2392" i="34"/>
  <c r="M2393" i="34"/>
  <c r="M2394" i="34"/>
  <c r="M2395" i="34"/>
  <c r="M2396" i="34"/>
  <c r="M2397" i="34"/>
  <c r="M2398" i="34"/>
  <c r="M2399" i="34"/>
  <c r="M2400" i="34"/>
  <c r="M2401" i="34"/>
  <c r="M2402" i="34"/>
  <c r="M2403" i="34"/>
  <c r="M2404" i="34"/>
  <c r="M2405" i="34"/>
  <c r="M2406" i="34"/>
  <c r="M2407" i="34"/>
  <c r="M2408" i="34"/>
  <c r="M2409" i="34"/>
  <c r="M2410" i="34"/>
  <c r="M2411" i="34"/>
  <c r="M2412" i="34"/>
  <c r="M2413" i="34"/>
  <c r="M2414" i="34"/>
  <c r="M2415" i="34"/>
  <c r="M2416" i="34"/>
  <c r="M2417" i="34"/>
  <c r="M2418" i="34"/>
  <c r="M2419" i="34"/>
  <c r="M2420" i="34"/>
  <c r="M2421" i="34"/>
  <c r="M2422" i="34"/>
  <c r="M2423" i="34"/>
  <c r="M2424" i="34"/>
  <c r="M2425" i="34"/>
  <c r="M2426" i="34"/>
  <c r="M2427" i="34"/>
  <c r="M2428" i="34"/>
  <c r="M2429" i="34"/>
  <c r="A34" i="12" l="1"/>
  <c r="A33" i="12"/>
  <c r="A5" i="12"/>
  <c r="A6" i="12"/>
  <c r="A7" i="12"/>
  <c r="A8" i="12"/>
  <c r="A9" i="12"/>
  <c r="A10" i="12"/>
  <c r="A11" i="12"/>
  <c r="P11" i="34" l="1"/>
  <c r="M11" i="34"/>
  <c r="M10" i="34"/>
  <c r="P10" i="34" l="1"/>
  <c r="C11" i="34"/>
  <c r="B11" i="34" s="1"/>
  <c r="C10" i="34"/>
  <c r="B10" i="34" s="1"/>
  <c r="Q10" i="34" s="1"/>
  <c r="I10" i="14"/>
  <c r="R11" i="34" l="1"/>
  <c r="S11" i="34"/>
  <c r="R10" i="34"/>
  <c r="S10" i="34"/>
  <c r="A11" i="34"/>
  <c r="Q11" i="34"/>
  <c r="A10" i="34"/>
  <c r="A32" i="12" l="1"/>
  <c r="A31" i="12" l="1"/>
  <c r="A30" i="12" l="1"/>
  <c r="J1850" i="34"/>
  <c r="I153" i="34" l="1"/>
  <c r="M1646" i="34" l="1"/>
  <c r="M1104" i="34"/>
  <c r="M1385" i="34"/>
  <c r="M1031" i="34"/>
  <c r="M901" i="34"/>
  <c r="M922" i="34"/>
  <c r="M923" i="34"/>
  <c r="M924" i="34"/>
  <c r="M992" i="34"/>
  <c r="M993" i="34"/>
  <c r="M994" i="34"/>
  <c r="M995" i="34"/>
  <c r="M900" i="34"/>
  <c r="M1032" i="34"/>
  <c r="M1103" i="34"/>
  <c r="M1105" i="34"/>
  <c r="M1106" i="34"/>
  <c r="M1169" i="34"/>
  <c r="M1170" i="34"/>
  <c r="M1194" i="34"/>
  <c r="M1195" i="34"/>
  <c r="M1196" i="34"/>
  <c r="M1222" i="34"/>
  <c r="M1223" i="34"/>
  <c r="M1321" i="34"/>
  <c r="M1322" i="34"/>
  <c r="M1323" i="34"/>
  <c r="M1383" i="34"/>
  <c r="M1384" i="34"/>
  <c r="M1466" i="34"/>
  <c r="M1467" i="34"/>
  <c r="M1468" i="34"/>
  <c r="M1469" i="34"/>
  <c r="M1427" i="34"/>
  <c r="M1430" i="34"/>
  <c r="M1431" i="34"/>
  <c r="M1453" i="34"/>
  <c r="M1454" i="34"/>
  <c r="M1455" i="34"/>
  <c r="M1464" i="34"/>
  <c r="M1465" i="34"/>
  <c r="M1485" i="34"/>
  <c r="M1517" i="34"/>
  <c r="M1518" i="34"/>
  <c r="M1519" i="34"/>
  <c r="M1645" i="34"/>
  <c r="M14" i="34"/>
  <c r="M25" i="34"/>
  <c r="M76" i="34"/>
  <c r="M26" i="34"/>
  <c r="M112" i="34"/>
  <c r="M143" i="34"/>
  <c r="M144" i="34"/>
  <c r="M145" i="34"/>
  <c r="M152" i="34"/>
  <c r="M153" i="34"/>
  <c r="M328" i="34"/>
  <c r="M329" i="34"/>
  <c r="M464" i="34"/>
  <c r="M465" i="34"/>
  <c r="M507" i="34"/>
  <c r="M508" i="34"/>
  <c r="M529" i="34"/>
  <c r="M592" i="34"/>
  <c r="M593" i="34"/>
  <c r="M613" i="34"/>
  <c r="M614" i="34"/>
  <c r="M615" i="34"/>
  <c r="M663" i="34"/>
  <c r="M664" i="34"/>
  <c r="M1493" i="34"/>
  <c r="M1686" i="34"/>
  <c r="M1823" i="34"/>
  <c r="M1854" i="34"/>
  <c r="M69" i="34"/>
  <c r="M105" i="34"/>
  <c r="M640" i="34"/>
  <c r="M1282" i="34"/>
  <c r="M154" i="34"/>
  <c r="M155" i="34"/>
  <c r="M156" i="34"/>
  <c r="M147" i="34"/>
  <c r="M148" i="34"/>
  <c r="M149" i="34"/>
  <c r="M150" i="34"/>
  <c r="M151" i="34"/>
  <c r="M345" i="34"/>
  <c r="M1174" i="34"/>
  <c r="M1529" i="34"/>
  <c r="M1530" i="34"/>
  <c r="M1601" i="34"/>
  <c r="M1590" i="34"/>
  <c r="M1591" i="34"/>
  <c r="M1602" i="34"/>
  <c r="M1629" i="34"/>
  <c r="M1630" i="34"/>
  <c r="M1631" i="34"/>
  <c r="M1828" i="34"/>
  <c r="M1470" i="34"/>
  <c r="M1520" i="34"/>
  <c r="M1521" i="34"/>
  <c r="M1522" i="34"/>
  <c r="M1540" i="34"/>
  <c r="M1559" i="34"/>
  <c r="M1560" i="34"/>
  <c r="M1561" i="34"/>
  <c r="M1562" i="34"/>
  <c r="M1565" i="34"/>
  <c r="M1578" i="34"/>
  <c r="M1747" i="34"/>
  <c r="M1748" i="34"/>
  <c r="M1824" i="34"/>
  <c r="M1825" i="34"/>
  <c r="M1826" i="34"/>
  <c r="M1632" i="34"/>
  <c r="M1634" i="34"/>
  <c r="M1647" i="34"/>
  <c r="M1669" i="34"/>
  <c r="M1670" i="34"/>
  <c r="M1672" i="34"/>
  <c r="M1674" i="34"/>
  <c r="M1675" i="34"/>
  <c r="M1687" i="34"/>
  <c r="M1690" i="34"/>
  <c r="M1691" i="34"/>
  <c r="M1692" i="34"/>
  <c r="M1712" i="34"/>
  <c r="M1728" i="34"/>
  <c r="M1749" i="34"/>
  <c r="M1782" i="34"/>
  <c r="M1635" i="34"/>
  <c r="M1850" i="34"/>
  <c r="M1851" i="34"/>
  <c r="M1852" i="34"/>
  <c r="M1771" i="34"/>
  <c r="M1772" i="34"/>
  <c r="M351" i="34"/>
  <c r="M352" i="34"/>
  <c r="M353" i="34"/>
  <c r="M456" i="34"/>
  <c r="M457" i="34"/>
  <c r="M472" i="34"/>
  <c r="M187" i="34"/>
  <c r="M188" i="34"/>
  <c r="M189" i="34"/>
  <c r="M367" i="34"/>
  <c r="M401" i="34"/>
  <c r="M402" i="34"/>
  <c r="M450" i="34"/>
  <c r="M458" i="34"/>
  <c r="M459" i="34"/>
  <c r="M694" i="34"/>
  <c r="M695" i="34"/>
  <c r="M696" i="34"/>
  <c r="M712" i="34"/>
  <c r="M713" i="34"/>
  <c r="M765" i="34"/>
  <c r="M766" i="34"/>
  <c r="M730" i="34"/>
  <c r="M1244" i="34"/>
  <c r="M1290" i="34"/>
  <c r="M1291" i="34"/>
  <c r="M1292" i="34"/>
  <c r="M1313" i="34"/>
  <c r="M1293" i="34"/>
  <c r="M1314" i="34"/>
  <c r="M1315" i="34"/>
  <c r="M1316" i="34"/>
  <c r="M1241" i="34"/>
  <c r="M1245" i="34"/>
  <c r="M1294" i="34"/>
  <c r="M1317" i="34"/>
  <c r="M1386" i="34"/>
  <c r="M1398" i="34"/>
  <c r="M1514" i="34"/>
  <c r="M1874" i="34"/>
  <c r="M1224" i="34"/>
  <c r="M1862" i="34"/>
  <c r="M1864" i="34"/>
  <c r="M1875" i="34"/>
  <c r="M1879" i="34"/>
  <c r="M1880" i="34"/>
  <c r="M1881" i="34"/>
  <c r="M1882" i="34"/>
  <c r="M1883" i="34"/>
  <c r="M1884" i="34"/>
  <c r="M1885" i="34"/>
  <c r="M1886" i="34"/>
  <c r="M1887" i="34"/>
  <c r="M1888" i="34"/>
  <c r="M1889" i="34"/>
  <c r="M1890" i="34"/>
  <c r="M1891" i="34"/>
  <c r="M1892" i="34"/>
  <c r="M1893" i="34"/>
  <c r="M1894" i="34"/>
  <c r="M1895" i="34"/>
  <c r="M1896" i="34"/>
  <c r="M1897" i="34"/>
  <c r="M1898" i="34"/>
  <c r="M1899" i="34"/>
  <c r="M1900" i="34"/>
  <c r="M43" i="34"/>
  <c r="M327" i="34"/>
  <c r="M118" i="34"/>
  <c r="M1644" i="34"/>
  <c r="M1051" i="34"/>
  <c r="M1023" i="34"/>
  <c r="M1409" i="34"/>
  <c r="M1564" i="34"/>
  <c r="M1557" i="34"/>
  <c r="M1708" i="34"/>
  <c r="M1743" i="34"/>
  <c r="M1744" i="34"/>
  <c r="M1709" i="34"/>
  <c r="M1710" i="34"/>
  <c r="M1745" i="34"/>
  <c r="M1787" i="34"/>
  <c r="M1794" i="34"/>
  <c r="M1795" i="34"/>
  <c r="M1479" i="34"/>
  <c r="M1511" i="34"/>
  <c r="M1512" i="34"/>
  <c r="M1513" i="34"/>
  <c r="M1425" i="34"/>
  <c r="M1426" i="34"/>
  <c r="M1633" i="34"/>
  <c r="M941" i="34"/>
  <c r="M1480" i="34"/>
  <c r="M1481" i="34"/>
  <c r="M480" i="34"/>
  <c r="M482" i="34"/>
  <c r="M483" i="34"/>
  <c r="M505" i="34"/>
  <c r="M506" i="34"/>
  <c r="M519" i="34"/>
  <c r="M520" i="34"/>
  <c r="M521" i="34"/>
  <c r="M531" i="34"/>
  <c r="M532" i="34"/>
  <c r="M463" i="34"/>
  <c r="M594" i="34"/>
  <c r="M647" i="34"/>
  <c r="M648" i="34"/>
  <c r="M649" i="34"/>
  <c r="M672" i="34"/>
  <c r="M673" i="34"/>
  <c r="M674" i="34"/>
  <c r="M709" i="34"/>
  <c r="M710" i="34"/>
  <c r="M711" i="34"/>
  <c r="M1100" i="34"/>
  <c r="M1151" i="34"/>
  <c r="M1153" i="34"/>
  <c r="M1216" i="34"/>
  <c r="M1230" i="34"/>
  <c r="M1225" i="34"/>
  <c r="M1266" i="34"/>
  <c r="M1283" i="34"/>
  <c r="M1295" i="34"/>
  <c r="M1320" i="34"/>
  <c r="M1335" i="34"/>
  <c r="M1345" i="34"/>
  <c r="M1350" i="34"/>
  <c r="M1369" i="34"/>
  <c r="M1397" i="34"/>
  <c r="M1410" i="34"/>
  <c r="M1428" i="34"/>
  <c r="M1788" i="34"/>
  <c r="M1802" i="34"/>
  <c r="M1829" i="34"/>
  <c r="M545" i="34"/>
  <c r="M546" i="34"/>
  <c r="M578" i="34"/>
  <c r="M595" i="34"/>
  <c r="M626" i="34"/>
  <c r="M627" i="34"/>
  <c r="M632" i="34"/>
  <c r="M650" i="34"/>
  <c r="M675" i="34"/>
  <c r="M680" i="34"/>
  <c r="M692" i="34"/>
  <c r="M719" i="34"/>
  <c r="M755" i="34"/>
  <c r="M764" i="34"/>
  <c r="M777" i="34"/>
  <c r="M778" i="34"/>
  <c r="M784" i="34"/>
  <c r="M797" i="34"/>
  <c r="M812" i="34"/>
  <c r="M820" i="34"/>
  <c r="M821" i="34"/>
  <c r="M831" i="34"/>
  <c r="M857" i="34"/>
  <c r="M873" i="34"/>
  <c r="M886" i="34"/>
  <c r="M897" i="34"/>
  <c r="M898" i="34"/>
  <c r="M899" i="34"/>
  <c r="M906" i="34"/>
  <c r="M921" i="34"/>
  <c r="M942" i="34"/>
  <c r="M966" i="34"/>
  <c r="M1022" i="34"/>
  <c r="M1080" i="34"/>
  <c r="M1089" i="34"/>
  <c r="M1558" i="34"/>
  <c r="M1599" i="34"/>
  <c r="M1628" i="34"/>
  <c r="M1711" i="34"/>
  <c r="M1746" i="34"/>
  <c r="M1138" i="34"/>
  <c r="M13" i="34"/>
  <c r="M316" i="34"/>
  <c r="M317" i="34"/>
  <c r="M330" i="34"/>
  <c r="M1027" i="34"/>
  <c r="M1028" i="34"/>
  <c r="M1029" i="34"/>
  <c r="M1030" i="34"/>
  <c r="M1050" i="34"/>
  <c r="M773" i="34"/>
  <c r="A15" i="12" l="1"/>
  <c r="A21" i="12"/>
  <c r="A20" i="12"/>
  <c r="A25" i="12"/>
  <c r="M1507" i="34"/>
  <c r="M1506" i="34"/>
  <c r="M1412" i="34" l="1"/>
  <c r="M1411" i="34"/>
  <c r="M653" i="34"/>
  <c r="M652" i="34"/>
  <c r="M651" i="34"/>
  <c r="M612" i="34"/>
  <c r="M481" i="34"/>
  <c r="M146" i="34"/>
  <c r="M134" i="34"/>
  <c r="M83" i="34"/>
  <c r="M52" i="34"/>
  <c r="M1827" i="34"/>
  <c r="M1770" i="34"/>
  <c r="M1727" i="34"/>
  <c r="M1689" i="34"/>
  <c r="M1688" i="34"/>
  <c r="M1673" i="34"/>
  <c r="M1671" i="34"/>
  <c r="M1668" i="34"/>
  <c r="M1600" i="34"/>
  <c r="M1528" i="34"/>
  <c r="M1484" i="34"/>
  <c r="M1382" i="34"/>
  <c r="M1312" i="34"/>
  <c r="M1311" i="34"/>
  <c r="M1243" i="34"/>
  <c r="M1232" i="34"/>
  <c r="M1231" i="34"/>
  <c r="M1178" i="34"/>
  <c r="M1177" i="34"/>
  <c r="M1152" i="34"/>
  <c r="M1088" i="34"/>
  <c r="M1053" i="34"/>
  <c r="M1026" i="34"/>
  <c r="M1025" i="34"/>
  <c r="M1024" i="34"/>
  <c r="M968" i="34"/>
  <c r="M967" i="34"/>
  <c r="M915" i="34"/>
  <c r="M914" i="34"/>
  <c r="M908" i="34"/>
  <c r="M907" i="34"/>
  <c r="M875" i="34"/>
  <c r="M874" i="34"/>
  <c r="M832" i="34"/>
  <c r="M814" i="34"/>
  <c r="M813" i="34"/>
  <c r="M774" i="34"/>
  <c r="M556" i="34"/>
  <c r="M555" i="34"/>
  <c r="M435" i="34"/>
  <c r="M415" i="34"/>
  <c r="M375" i="34"/>
  <c r="M366" i="34"/>
  <c r="M363" i="34"/>
  <c r="M1217" i="34"/>
  <c r="M1726" i="34"/>
  <c r="M1279" i="34"/>
  <c r="M1267" i="34"/>
  <c r="M1242" i="34"/>
  <c r="M1240" i="34"/>
  <c r="M1147" i="34"/>
  <c r="M1139" i="34"/>
  <c r="M1137" i="34"/>
  <c r="M1125" i="34"/>
  <c r="M1123" i="34"/>
  <c r="M1102" i="34"/>
  <c r="M1091" i="34"/>
  <c r="M1087" i="34"/>
  <c r="M1064" i="34"/>
  <c r="M1101" i="34"/>
  <c r="M1090" i="34"/>
  <c r="M1086" i="34"/>
  <c r="M1081" i="34"/>
  <c r="M1063" i="34"/>
  <c r="M1667" i="34"/>
  <c r="M1725" i="34"/>
  <c r="M1724" i="34"/>
  <c r="M858" i="34"/>
  <c r="M783" i="34"/>
  <c r="M736" i="34"/>
  <c r="M693" i="34"/>
  <c r="M633" i="34"/>
  <c r="M603" i="34"/>
  <c r="M547" i="34"/>
  <c r="M533" i="34"/>
  <c r="M439" i="34"/>
  <c r="M416" i="34"/>
  <c r="M1576" i="34"/>
  <c r="M1575" i="34"/>
  <c r="M1539" i="34"/>
  <c r="M1538" i="34"/>
  <c r="M1483" i="34"/>
  <c r="M1482" i="34"/>
  <c r="M1439" i="34"/>
  <c r="M1438" i="34"/>
  <c r="M1437" i="34"/>
  <c r="M1429" i="34"/>
  <c r="M1370" i="34"/>
  <c r="M1218" i="34"/>
  <c r="M1176" i="34"/>
  <c r="M1173" i="34"/>
  <c r="M1052" i="34"/>
  <c r="M1079" i="34"/>
  <c r="M1049" i="34"/>
  <c r="M1048" i="34"/>
  <c r="M1047" i="34"/>
  <c r="M224" i="34"/>
  <c r="M1801" i="34"/>
  <c r="M1800" i="34"/>
  <c r="M1781" i="34"/>
  <c r="M1780" i="34"/>
  <c r="M1478" i="34"/>
  <c r="M1463" i="34"/>
  <c r="M1381" i="34"/>
  <c r="M1336" i="34"/>
  <c r="M1136" i="34"/>
  <c r="M1122" i="34"/>
  <c r="M830" i="34"/>
  <c r="M829" i="34"/>
  <c r="C2369" i="34"/>
  <c r="B2369" i="34" s="1"/>
  <c r="C2370" i="34"/>
  <c r="B2370" i="34" s="1"/>
  <c r="C2371" i="34"/>
  <c r="B2371" i="34" s="1"/>
  <c r="C2372" i="34"/>
  <c r="B2372" i="34" s="1"/>
  <c r="C2373" i="34"/>
  <c r="B2373" i="34" s="1"/>
  <c r="C2374" i="34"/>
  <c r="B2374" i="34" s="1"/>
  <c r="C2375" i="34"/>
  <c r="B2375" i="34" s="1"/>
  <c r="C2376" i="34"/>
  <c r="B2376" i="34" s="1"/>
  <c r="C2377" i="34"/>
  <c r="B2377" i="34" s="1"/>
  <c r="C2378" i="34"/>
  <c r="B2378" i="34" s="1"/>
  <c r="C2379" i="34"/>
  <c r="B2379" i="34" s="1"/>
  <c r="C2380" i="34"/>
  <c r="B2380" i="34" s="1"/>
  <c r="C2381" i="34"/>
  <c r="B2381" i="34" s="1"/>
  <c r="C2382" i="34"/>
  <c r="B2382" i="34" s="1"/>
  <c r="C2383" i="34"/>
  <c r="B2383" i="34" s="1"/>
  <c r="C2384" i="34"/>
  <c r="B2384" i="34" s="1"/>
  <c r="C2385" i="34"/>
  <c r="B2385" i="34" s="1"/>
  <c r="C2386" i="34"/>
  <c r="B2386" i="34" s="1"/>
  <c r="C2387" i="34"/>
  <c r="B2387" i="34" s="1"/>
  <c r="C2388" i="34"/>
  <c r="B2388" i="34" s="1"/>
  <c r="C2389" i="34"/>
  <c r="B2389" i="34" s="1"/>
  <c r="C2390" i="34"/>
  <c r="B2390" i="34" s="1"/>
  <c r="C2391" i="34"/>
  <c r="B2391" i="34" s="1"/>
  <c r="C2392" i="34"/>
  <c r="B2392" i="34" s="1"/>
  <c r="C2393" i="34"/>
  <c r="B2393" i="34" s="1"/>
  <c r="C2394" i="34"/>
  <c r="B2394" i="34" s="1"/>
  <c r="C2395" i="34"/>
  <c r="B2395" i="34" s="1"/>
  <c r="C2396" i="34"/>
  <c r="B2396" i="34" s="1"/>
  <c r="C2397" i="34"/>
  <c r="B2397" i="34" s="1"/>
  <c r="C2398" i="34"/>
  <c r="B2398" i="34" s="1"/>
  <c r="C2399" i="34"/>
  <c r="B2399" i="34" s="1"/>
  <c r="C2400" i="34"/>
  <c r="B2400" i="34" s="1"/>
  <c r="C2401" i="34"/>
  <c r="B2401" i="34" s="1"/>
  <c r="C2402" i="34"/>
  <c r="B2402" i="34" s="1"/>
  <c r="C2403" i="34"/>
  <c r="B2403" i="34" s="1"/>
  <c r="C2404" i="34"/>
  <c r="B2404" i="34" s="1"/>
  <c r="C2405" i="34"/>
  <c r="B2405" i="34" s="1"/>
  <c r="C2406" i="34"/>
  <c r="B2406" i="34" s="1"/>
  <c r="C2407" i="34"/>
  <c r="B2407" i="34" s="1"/>
  <c r="C2408" i="34"/>
  <c r="B2408" i="34" s="1"/>
  <c r="C2409" i="34"/>
  <c r="B2409" i="34" s="1"/>
  <c r="C2410" i="34"/>
  <c r="B2410" i="34" s="1"/>
  <c r="C2411" i="34"/>
  <c r="B2411" i="34" s="1"/>
  <c r="C2412" i="34"/>
  <c r="B2412" i="34" s="1"/>
  <c r="C2413" i="34"/>
  <c r="B2413" i="34" s="1"/>
  <c r="C2414" i="34"/>
  <c r="B2414" i="34" s="1"/>
  <c r="C2415" i="34"/>
  <c r="B2415" i="34" s="1"/>
  <c r="C2416" i="34"/>
  <c r="B2416" i="34" s="1"/>
  <c r="C2417" i="34"/>
  <c r="B2417" i="34" s="1"/>
  <c r="C2418" i="34"/>
  <c r="B2418" i="34" s="1"/>
  <c r="C2419" i="34"/>
  <c r="B2419" i="34" s="1"/>
  <c r="C2420" i="34"/>
  <c r="B2420" i="34" s="1"/>
  <c r="C2421" i="34"/>
  <c r="B2421" i="34" s="1"/>
  <c r="C2422" i="34"/>
  <c r="B2422" i="34" s="1"/>
  <c r="A2422" i="34" s="1"/>
  <c r="C2423" i="34"/>
  <c r="B2423" i="34" s="1"/>
  <c r="A2423" i="34" s="1"/>
  <c r="C2424" i="34"/>
  <c r="B2424" i="34" s="1"/>
  <c r="A2424" i="34" s="1"/>
  <c r="C2425" i="34"/>
  <c r="B2425" i="34" s="1"/>
  <c r="A2425" i="34" s="1"/>
  <c r="C2426" i="34"/>
  <c r="B2426" i="34" s="1"/>
  <c r="A2426" i="34" s="1"/>
  <c r="C2427" i="34"/>
  <c r="B2427" i="34" s="1"/>
  <c r="A2427" i="34" s="1"/>
  <c r="C2428" i="34"/>
  <c r="B2428" i="34" s="1"/>
  <c r="A2428" i="34" s="1"/>
  <c r="C2429" i="34"/>
  <c r="S2396" i="34" l="1"/>
  <c r="Q2396" i="34"/>
  <c r="R2396" i="34"/>
  <c r="S2392" i="34"/>
  <c r="Q2392" i="34"/>
  <c r="R2392" i="34"/>
  <c r="S2388" i="34"/>
  <c r="Q2388" i="34"/>
  <c r="R2388" i="34"/>
  <c r="S2384" i="34"/>
  <c r="Q2384" i="34"/>
  <c r="R2384" i="34"/>
  <c r="S2380" i="34"/>
  <c r="Q2380" i="34"/>
  <c r="R2380" i="34"/>
  <c r="S2376" i="34"/>
  <c r="Q2376" i="34"/>
  <c r="R2376" i="34"/>
  <c r="S2372" i="34"/>
  <c r="Q2372" i="34"/>
  <c r="R2372" i="34"/>
  <c r="S2395" i="34"/>
  <c r="Q2395" i="34"/>
  <c r="R2395" i="34"/>
  <c r="S2391" i="34"/>
  <c r="Q2391" i="34"/>
  <c r="R2391" i="34"/>
  <c r="S2387" i="34"/>
  <c r="Q2387" i="34"/>
  <c r="R2387" i="34"/>
  <c r="S2383" i="34"/>
  <c r="Q2383" i="34"/>
  <c r="R2383" i="34"/>
  <c r="S2379" i="34"/>
  <c r="Q2379" i="34"/>
  <c r="R2379" i="34"/>
  <c r="S2375" i="34"/>
  <c r="Q2375" i="34"/>
  <c r="R2375" i="34"/>
  <c r="S2371" i="34"/>
  <c r="Q2371" i="34"/>
  <c r="R2371" i="34"/>
  <c r="S2394" i="34"/>
  <c r="Q2394" i="34"/>
  <c r="R2394" i="34"/>
  <c r="S2390" i="34"/>
  <c r="Q2390" i="34"/>
  <c r="R2390" i="34"/>
  <c r="S2386" i="34"/>
  <c r="Q2386" i="34"/>
  <c r="R2386" i="34"/>
  <c r="S2382" i="34"/>
  <c r="Q2382" i="34"/>
  <c r="R2382" i="34"/>
  <c r="S2378" i="34"/>
  <c r="Q2378" i="34"/>
  <c r="R2378" i="34"/>
  <c r="S2374" i="34"/>
  <c r="Q2374" i="34"/>
  <c r="R2374" i="34"/>
  <c r="S2370" i="34"/>
  <c r="Q2370" i="34"/>
  <c r="R2370" i="34"/>
  <c r="S2397" i="34"/>
  <c r="Q2397" i="34"/>
  <c r="R2397" i="34"/>
  <c r="S2393" i="34"/>
  <c r="Q2393" i="34"/>
  <c r="R2393" i="34"/>
  <c r="S2389" i="34"/>
  <c r="Q2389" i="34"/>
  <c r="R2389" i="34"/>
  <c r="S2385" i="34"/>
  <c r="Q2385" i="34"/>
  <c r="R2385" i="34"/>
  <c r="S2381" i="34"/>
  <c r="Q2381" i="34"/>
  <c r="R2381" i="34"/>
  <c r="S2377" i="34"/>
  <c r="Q2377" i="34"/>
  <c r="R2377" i="34"/>
  <c r="S2373" i="34"/>
  <c r="Q2373" i="34"/>
  <c r="R2373" i="34"/>
  <c r="S2369" i="34"/>
  <c r="Q2369" i="34"/>
  <c r="R2369" i="34"/>
  <c r="A2420" i="34"/>
  <c r="Q2420" i="34"/>
  <c r="R2420" i="34"/>
  <c r="S2420" i="34"/>
  <c r="A2404" i="34"/>
  <c r="Q2404" i="34"/>
  <c r="R2404" i="34"/>
  <c r="S2404" i="34"/>
  <c r="A2392" i="34"/>
  <c r="A2376" i="34"/>
  <c r="A2407" i="34"/>
  <c r="Q2407" i="34"/>
  <c r="R2407" i="34"/>
  <c r="S2407" i="34"/>
  <c r="A2395" i="34"/>
  <c r="A2383" i="34"/>
  <c r="A2375" i="34"/>
  <c r="A2421" i="34"/>
  <c r="Q2421" i="34"/>
  <c r="R2421" i="34"/>
  <c r="S2421" i="34"/>
  <c r="A2417" i="34"/>
  <c r="Q2417" i="34"/>
  <c r="R2417" i="34"/>
  <c r="S2417" i="34"/>
  <c r="A2413" i="34"/>
  <c r="Q2413" i="34"/>
  <c r="R2413" i="34"/>
  <c r="S2413" i="34"/>
  <c r="A2409" i="34"/>
  <c r="Q2409" i="34"/>
  <c r="R2409" i="34"/>
  <c r="S2409" i="34"/>
  <c r="A2405" i="34"/>
  <c r="Q2405" i="34"/>
  <c r="R2405" i="34"/>
  <c r="S2405" i="34"/>
  <c r="A2401" i="34"/>
  <c r="Q2401" i="34"/>
  <c r="R2401" i="34"/>
  <c r="S2401" i="34"/>
  <c r="A2397" i="34"/>
  <c r="A2393" i="34"/>
  <c r="A2389" i="34"/>
  <c r="A2385" i="34"/>
  <c r="A2381" i="34"/>
  <c r="A2377" i="34"/>
  <c r="A2416" i="34"/>
  <c r="Q2416" i="34"/>
  <c r="R2416" i="34"/>
  <c r="S2416" i="34"/>
  <c r="A2388" i="34"/>
  <c r="A2412" i="34"/>
  <c r="Q2412" i="34"/>
  <c r="R2412" i="34"/>
  <c r="S2412" i="34"/>
  <c r="A2396" i="34"/>
  <c r="A2380" i="34"/>
  <c r="A2415" i="34"/>
  <c r="Q2415" i="34"/>
  <c r="R2415" i="34"/>
  <c r="S2415" i="34"/>
  <c r="A2403" i="34"/>
  <c r="Q2403" i="34"/>
  <c r="R2403" i="34"/>
  <c r="S2403" i="34"/>
  <c r="A2391" i="34"/>
  <c r="A2379" i="34"/>
  <c r="A2408" i="34"/>
  <c r="Q2408" i="34"/>
  <c r="R2408" i="34"/>
  <c r="S2408" i="34"/>
  <c r="A2400" i="34"/>
  <c r="Q2400" i="34"/>
  <c r="R2400" i="34"/>
  <c r="S2400" i="34"/>
  <c r="A2384" i="34"/>
  <c r="A2419" i="34"/>
  <c r="Q2419" i="34"/>
  <c r="R2419" i="34"/>
  <c r="S2419" i="34"/>
  <c r="A2411" i="34"/>
  <c r="Q2411" i="34"/>
  <c r="R2411" i="34"/>
  <c r="S2411" i="34"/>
  <c r="A2399" i="34"/>
  <c r="Q2399" i="34"/>
  <c r="R2399" i="34"/>
  <c r="S2399" i="34"/>
  <c r="A2387" i="34"/>
  <c r="A2418" i="34"/>
  <c r="Q2418" i="34"/>
  <c r="R2418" i="34"/>
  <c r="S2418" i="34"/>
  <c r="A2414" i="34"/>
  <c r="Q2414" i="34"/>
  <c r="R2414" i="34"/>
  <c r="S2414" i="34"/>
  <c r="A2410" i="34"/>
  <c r="Q2410" i="34"/>
  <c r="R2410" i="34"/>
  <c r="S2410" i="34"/>
  <c r="A2406" i="34"/>
  <c r="Q2406" i="34"/>
  <c r="R2406" i="34"/>
  <c r="S2406" i="34"/>
  <c r="A2402" i="34"/>
  <c r="Q2402" i="34"/>
  <c r="R2402" i="34"/>
  <c r="S2402" i="34"/>
  <c r="A2398" i="34"/>
  <c r="Q2398" i="34"/>
  <c r="R2398" i="34"/>
  <c r="S2398" i="34"/>
  <c r="A2394" i="34"/>
  <c r="A2390" i="34"/>
  <c r="A2386" i="34"/>
  <c r="A2382" i="34"/>
  <c r="A2378" i="34"/>
  <c r="A2373" i="34"/>
  <c r="A2369" i="34"/>
  <c r="A2371" i="34"/>
  <c r="A2372" i="34"/>
  <c r="A2374" i="34"/>
  <c r="A2370" i="34"/>
  <c r="P2422" i="34" l="1"/>
  <c r="P2423" i="34"/>
  <c r="P2424" i="34"/>
  <c r="P2425" i="34"/>
  <c r="P2426" i="34"/>
  <c r="P2427" i="34"/>
  <c r="P2428" i="34" l="1"/>
  <c r="P2429" i="34"/>
  <c r="G32" i="14" s="1"/>
  <c r="P2430" i="34"/>
  <c r="E33" i="14" l="1"/>
  <c r="C31" i="14"/>
  <c r="D35" i="14"/>
  <c r="H30" i="14"/>
  <c r="A33" i="14"/>
  <c r="G29" i="14"/>
  <c r="H34" i="14"/>
  <c r="F30" i="14"/>
  <c r="D30" i="14"/>
  <c r="D32" i="14"/>
  <c r="B30" i="14"/>
  <c r="E31" i="14"/>
  <c r="G35" i="14"/>
  <c r="C32" i="14"/>
  <c r="F31" i="14"/>
  <c r="G33" i="14"/>
  <c r="D33" i="14"/>
  <c r="H29" i="14"/>
  <c r="B31" i="14"/>
  <c r="H31" i="14"/>
  <c r="H32" i="14"/>
  <c r="F34" i="14"/>
  <c r="E36" i="14"/>
  <c r="A30" i="14"/>
  <c r="D31" i="14"/>
  <c r="B33" i="14"/>
  <c r="F36" i="14"/>
  <c r="A36" i="14"/>
  <c r="E29" i="14"/>
  <c r="D29" i="14"/>
  <c r="F29" i="14"/>
  <c r="A31" i="14"/>
  <c r="C34" i="14"/>
  <c r="B36" i="14"/>
  <c r="B29" i="14"/>
  <c r="E30" i="14"/>
  <c r="C33" i="14"/>
  <c r="G36" i="14"/>
  <c r="C29" i="14"/>
  <c r="G31" i="14"/>
  <c r="E34" i="14"/>
  <c r="B34" i="14"/>
  <c r="D36" i="14"/>
  <c r="G34" i="14"/>
  <c r="C30" i="14"/>
  <c r="A34" i="14"/>
  <c r="F32" i="14"/>
  <c r="H35" i="14"/>
  <c r="A11" i="14"/>
  <c r="B32" i="14"/>
  <c r="B35" i="14"/>
  <c r="E35" i="14"/>
  <c r="A29" i="14"/>
  <c r="G30" i="14"/>
  <c r="F33" i="14"/>
  <c r="A35" i="14"/>
  <c r="F35" i="14"/>
  <c r="H36" i="14"/>
  <c r="E32" i="14"/>
  <c r="D34" i="14"/>
  <c r="C35" i="14"/>
  <c r="A32" i="14"/>
  <c r="C36" i="14"/>
  <c r="H33" i="14"/>
  <c r="A48" i="14"/>
  <c r="B52" i="14"/>
  <c r="C56" i="14"/>
  <c r="D60" i="14"/>
  <c r="E64" i="14"/>
  <c r="H68" i="14"/>
  <c r="F72" i="14"/>
  <c r="A49" i="14"/>
  <c r="B53" i="14"/>
  <c r="C57" i="14"/>
  <c r="D61" i="14"/>
  <c r="E65" i="14"/>
  <c r="H69" i="14"/>
  <c r="F73" i="14"/>
  <c r="A50" i="14"/>
  <c r="B54" i="14"/>
  <c r="C58" i="14"/>
  <c r="D62" i="14"/>
  <c r="H66" i="14"/>
  <c r="G70" i="14"/>
  <c r="E74" i="14"/>
  <c r="A51" i="14"/>
  <c r="B55" i="14"/>
  <c r="C59" i="14"/>
  <c r="D63" i="14"/>
  <c r="I63" i="14" s="1"/>
  <c r="G67" i="14"/>
  <c r="F71" i="14"/>
  <c r="H75" i="14"/>
  <c r="A52" i="14"/>
  <c r="B56" i="14"/>
  <c r="C60" i="14"/>
  <c r="D64" i="14"/>
  <c r="I64" i="14" s="1"/>
  <c r="G68" i="14"/>
  <c r="E72" i="14"/>
  <c r="H48" i="14"/>
  <c r="A53" i="14"/>
  <c r="B57" i="14"/>
  <c r="C61" i="14"/>
  <c r="D65" i="14"/>
  <c r="I65" i="14" s="1"/>
  <c r="G69" i="14"/>
  <c r="E73" i="14"/>
  <c r="H49" i="14"/>
  <c r="A54" i="14"/>
  <c r="B58" i="14"/>
  <c r="C62" i="14"/>
  <c r="C66" i="14"/>
  <c r="F70" i="14"/>
  <c r="H74" i="14"/>
  <c r="H50" i="14"/>
  <c r="A55" i="14"/>
  <c r="B59" i="14"/>
  <c r="C63" i="14"/>
  <c r="B67" i="14"/>
  <c r="E71" i="14"/>
  <c r="G75" i="14"/>
  <c r="H51" i="14"/>
  <c r="D74" i="14"/>
  <c r="I74" i="14" s="1"/>
  <c r="G62" i="14"/>
  <c r="D51" i="14"/>
  <c r="F67" i="14"/>
  <c r="A56" i="14"/>
  <c r="B60" i="14"/>
  <c r="C64" i="14"/>
  <c r="B68" i="14"/>
  <c r="H72" i="14"/>
  <c r="G48" i="14"/>
  <c r="H52" i="14"/>
  <c r="A57" i="14"/>
  <c r="B61" i="14"/>
  <c r="C65" i="14"/>
  <c r="B69" i="14"/>
  <c r="H73" i="14"/>
  <c r="G49" i="14"/>
  <c r="H53" i="14"/>
  <c r="A58" i="14"/>
  <c r="B62" i="14"/>
  <c r="B66" i="14"/>
  <c r="A70" i="14"/>
  <c r="G74" i="14"/>
  <c r="G50" i="14"/>
  <c r="H54" i="14"/>
  <c r="A59" i="14"/>
  <c r="B63" i="14"/>
  <c r="A67" i="14"/>
  <c r="D71" i="14"/>
  <c r="I71" i="14" s="1"/>
  <c r="F75" i="14"/>
  <c r="G51" i="14"/>
  <c r="H55" i="14"/>
  <c r="A60" i="14"/>
  <c r="B64" i="14"/>
  <c r="A68" i="14"/>
  <c r="C72" i="14"/>
  <c r="F48" i="14"/>
  <c r="G52" i="14"/>
  <c r="H56" i="14"/>
  <c r="A61" i="14"/>
  <c r="B65" i="14"/>
  <c r="A69" i="14"/>
  <c r="C73" i="14"/>
  <c r="F49" i="14"/>
  <c r="G53" i="14"/>
  <c r="H57" i="14"/>
  <c r="A62" i="14"/>
  <c r="A66" i="14"/>
  <c r="D70" i="14"/>
  <c r="I70" i="14" s="1"/>
  <c r="B74" i="14"/>
  <c r="F50" i="14"/>
  <c r="G54" i="14"/>
  <c r="H58" i="14"/>
  <c r="A63" i="14"/>
  <c r="D67" i="14"/>
  <c r="I67" i="14" s="1"/>
  <c r="C71" i="14"/>
  <c r="A75" i="14"/>
  <c r="F51" i="14"/>
  <c r="G55" i="14"/>
  <c r="H65" i="14"/>
  <c r="E54" i="14"/>
  <c r="A71" i="14"/>
  <c r="F59" i="14"/>
  <c r="A64" i="14"/>
  <c r="D68" i="14"/>
  <c r="I68" i="14" s="1"/>
  <c r="B72" i="14"/>
  <c r="E48" i="14"/>
  <c r="F52" i="14"/>
  <c r="G56" i="14"/>
  <c r="H60" i="14"/>
  <c r="A65" i="14"/>
  <c r="D69" i="14"/>
  <c r="I69" i="14" s="1"/>
  <c r="B73" i="14"/>
  <c r="E49" i="14"/>
  <c r="F53" i="14"/>
  <c r="G57" i="14"/>
  <c r="H61" i="14"/>
  <c r="D66" i="14"/>
  <c r="I66" i="14" s="1"/>
  <c r="C70" i="14"/>
  <c r="A74" i="14"/>
  <c r="E50" i="14"/>
  <c r="F54" i="14"/>
  <c r="G58" i="14"/>
  <c r="H62" i="14"/>
  <c r="C67" i="14"/>
  <c r="B71" i="14"/>
  <c r="D75" i="14"/>
  <c r="I75" i="14" s="1"/>
  <c r="E51" i="14"/>
  <c r="F55" i="14"/>
  <c r="G59" i="14"/>
  <c r="H63" i="14"/>
  <c r="C68" i="14"/>
  <c r="A72" i="14"/>
  <c r="D48" i="14"/>
  <c r="E52" i="14"/>
  <c r="F56" i="14"/>
  <c r="G60" i="14"/>
  <c r="H64" i="14"/>
  <c r="C69" i="14"/>
  <c r="A73" i="14"/>
  <c r="D49" i="14"/>
  <c r="E53" i="14"/>
  <c r="F57" i="14"/>
  <c r="G61" i="14"/>
  <c r="B70" i="14"/>
  <c r="F58" i="14"/>
  <c r="C75" i="14"/>
  <c r="G63" i="14"/>
  <c r="D72" i="14"/>
  <c r="I72" i="14" s="1"/>
  <c r="C48" i="14"/>
  <c r="D52" i="14"/>
  <c r="E56" i="14"/>
  <c r="F60" i="14"/>
  <c r="G64" i="14"/>
  <c r="F68" i="14"/>
  <c r="D73" i="14"/>
  <c r="I73" i="14" s="1"/>
  <c r="C49" i="14"/>
  <c r="D53" i="14"/>
  <c r="E57" i="14"/>
  <c r="F61" i="14"/>
  <c r="G65" i="14"/>
  <c r="F69" i="14"/>
  <c r="C74" i="14"/>
  <c r="C50" i="14"/>
  <c r="D54" i="14"/>
  <c r="E58" i="14"/>
  <c r="F62" i="14"/>
  <c r="F66" i="14"/>
  <c r="E70" i="14"/>
  <c r="B75" i="14"/>
  <c r="C51" i="14"/>
  <c r="D55" i="14"/>
  <c r="E59" i="14"/>
  <c r="F63" i="14"/>
  <c r="E67" i="14"/>
  <c r="H71" i="14"/>
  <c r="B48" i="14"/>
  <c r="C52" i="14"/>
  <c r="D56" i="14"/>
  <c r="E60" i="14"/>
  <c r="F64" i="14"/>
  <c r="E68" i="14"/>
  <c r="G72" i="14"/>
  <c r="B49" i="14"/>
  <c r="C53" i="14"/>
  <c r="D57" i="14"/>
  <c r="E61" i="14"/>
  <c r="F65" i="14"/>
  <c r="E69" i="14"/>
  <c r="G73" i="14"/>
  <c r="B50" i="14"/>
  <c r="C54" i="14"/>
  <c r="D58" i="14"/>
  <c r="E62" i="14"/>
  <c r="E66" i="14"/>
  <c r="H70" i="14"/>
  <c r="F74" i="14"/>
  <c r="B51" i="14"/>
  <c r="C55" i="14"/>
  <c r="D59" i="14"/>
  <c r="E63" i="14"/>
  <c r="H67" i="14"/>
  <c r="G71" i="14"/>
  <c r="E75" i="14"/>
  <c r="H59" i="14"/>
  <c r="D50" i="14"/>
  <c r="G66" i="14"/>
  <c r="E55" i="14"/>
  <c r="A12" i="14"/>
  <c r="A44" i="14"/>
  <c r="B40" i="14"/>
  <c r="A45" i="14"/>
  <c r="B41" i="14"/>
  <c r="C37" i="14"/>
  <c r="D46" i="14"/>
  <c r="B42" i="14"/>
  <c r="C38" i="14"/>
  <c r="C47" i="14"/>
  <c r="B43" i="14"/>
  <c r="C39" i="14"/>
  <c r="B12" i="14"/>
  <c r="B44" i="14"/>
  <c r="C40" i="14"/>
  <c r="B45" i="14"/>
  <c r="C41" i="14"/>
  <c r="D37" i="14"/>
  <c r="A46" i="14"/>
  <c r="C42" i="14"/>
  <c r="D38" i="14"/>
  <c r="D47" i="14"/>
  <c r="C43" i="14"/>
  <c r="D39" i="14"/>
  <c r="C12" i="14"/>
  <c r="C44" i="14"/>
  <c r="D40" i="14"/>
  <c r="C45" i="14"/>
  <c r="D41" i="14"/>
  <c r="E37" i="14"/>
  <c r="B46" i="14"/>
  <c r="D42" i="14"/>
  <c r="E38" i="14"/>
  <c r="A47" i="14"/>
  <c r="D43" i="14"/>
  <c r="E39" i="14"/>
  <c r="D12" i="14"/>
  <c r="D44" i="14"/>
  <c r="E40" i="14"/>
  <c r="D45" i="14"/>
  <c r="E41" i="14"/>
  <c r="F37" i="14"/>
  <c r="C46" i="14"/>
  <c r="E42" i="14"/>
  <c r="F38" i="14"/>
  <c r="B47" i="14"/>
  <c r="E43" i="14"/>
  <c r="F39" i="14"/>
  <c r="E12" i="14"/>
  <c r="E44" i="14"/>
  <c r="F40" i="14"/>
  <c r="E45" i="14"/>
  <c r="F41" i="14"/>
  <c r="G37" i="14"/>
  <c r="H46" i="14"/>
  <c r="F42" i="14"/>
  <c r="G38" i="14"/>
  <c r="G47" i="14"/>
  <c r="F43" i="14"/>
  <c r="G39" i="14"/>
  <c r="F12" i="14"/>
  <c r="F44" i="14"/>
  <c r="G40" i="14"/>
  <c r="F45" i="14"/>
  <c r="G41" i="14"/>
  <c r="H37" i="14"/>
  <c r="E46" i="14"/>
  <c r="G42" i="14"/>
  <c r="H38" i="14"/>
  <c r="H47" i="14"/>
  <c r="G43" i="14"/>
  <c r="H39" i="14"/>
  <c r="G12" i="14"/>
  <c r="G44" i="14"/>
  <c r="H40" i="14"/>
  <c r="A37" i="14"/>
  <c r="G45" i="14"/>
  <c r="H41" i="14"/>
  <c r="A38" i="14"/>
  <c r="F46" i="14"/>
  <c r="H42" i="14"/>
  <c r="A39" i="14"/>
  <c r="E47" i="14"/>
  <c r="H43" i="14"/>
  <c r="A40" i="14"/>
  <c r="H12" i="14"/>
  <c r="H44" i="14"/>
  <c r="A41" i="14"/>
  <c r="B37" i="14"/>
  <c r="H45" i="14"/>
  <c r="A42" i="14"/>
  <c r="B38" i="14"/>
  <c r="G46" i="14"/>
  <c r="A43" i="14"/>
  <c r="B39" i="14"/>
  <c r="F47" i="14"/>
  <c r="E11" i="14"/>
  <c r="G11" i="14"/>
  <c r="H11" i="14"/>
  <c r="F11" i="14"/>
  <c r="A29" i="12" l="1"/>
  <c r="B2429" i="34" l="1"/>
  <c r="A2429" i="34" s="1"/>
  <c r="B2430" i="34"/>
  <c r="Q2423" i="34" l="1"/>
  <c r="R2423" i="34"/>
  <c r="S2423" i="34"/>
  <c r="Q2422" i="34"/>
  <c r="R2422" i="34"/>
  <c r="S2422" i="34"/>
  <c r="S2424" i="34"/>
  <c r="Q2424" i="34"/>
  <c r="R2424" i="34"/>
  <c r="Q2427" i="34"/>
  <c r="R2427" i="34"/>
  <c r="S2427" i="34"/>
  <c r="Q2426" i="34"/>
  <c r="R2426" i="34"/>
  <c r="S2426" i="34"/>
  <c r="R2425" i="34"/>
  <c r="S2425" i="34"/>
  <c r="Q2425" i="34"/>
  <c r="Q2428" i="34"/>
  <c r="R2428" i="34"/>
  <c r="S2428" i="34"/>
  <c r="S2430" i="34"/>
  <c r="Q2430" i="34"/>
  <c r="R2430" i="34"/>
  <c r="A2430" i="34"/>
  <c r="Q2429" i="34"/>
  <c r="R2429" i="34"/>
  <c r="S2429" i="34"/>
  <c r="A14" i="12" l="1"/>
  <c r="A24" i="12"/>
  <c r="A16" i="12"/>
  <c r="A27" i="12"/>
  <c r="A19" i="12"/>
  <c r="A26" i="12"/>
  <c r="A28" i="12"/>
  <c r="A13" i="12"/>
  <c r="A18" i="12"/>
  <c r="A4" i="12"/>
  <c r="A17" i="12"/>
  <c r="A22" i="12"/>
  <c r="A23" i="12"/>
  <c r="A12" i="12"/>
  <c r="D37" i="12" l="1"/>
  <c r="C37" i="12"/>
  <c r="I201" i="42" l="1"/>
  <c r="A6" i="42" l="1"/>
  <c r="M24" i="39"/>
  <c r="H24" i="39"/>
  <c r="M17" i="39"/>
  <c r="H17" i="39"/>
  <c r="C11" i="39"/>
  <c r="M9" i="39"/>
  <c r="M7" i="39"/>
  <c r="L7" i="39"/>
  <c r="L6" i="39"/>
  <c r="H4" i="39"/>
  <c r="L3" i="39"/>
  <c r="L2" i="39"/>
  <c r="L1" i="39"/>
  <c r="I14" i="47"/>
  <c r="H14" i="47"/>
  <c r="E8" i="47"/>
  <c r="C11" i="14" l="1"/>
  <c r="D11" i="14"/>
  <c r="B11" i="14"/>
  <c r="I11" i="14" l="1"/>
  <c r="I12" i="14" s="1"/>
  <c r="H77" i="14"/>
  <c r="G77" i="14"/>
  <c r="E37" i="47"/>
  <c r="G34" i="47"/>
  <c r="G47" i="47"/>
  <c r="F20" i="47"/>
  <c r="G26" i="47"/>
  <c r="C45" i="47"/>
  <c r="D29" i="47"/>
  <c r="F36" i="47"/>
  <c r="G15" i="47"/>
  <c r="G18" i="47"/>
  <c r="E33" i="47"/>
  <c r="A46" i="47"/>
  <c r="C29" i="47"/>
  <c r="G42" i="47"/>
  <c r="G23" i="47"/>
  <c r="F39" i="47"/>
  <c r="F31" i="47"/>
  <c r="F48" i="47"/>
  <c r="F32" i="47"/>
  <c r="F16" i="47"/>
  <c r="G46" i="47"/>
  <c r="G30" i="47"/>
  <c r="B38" i="47"/>
  <c r="C43" i="47"/>
  <c r="F23" i="47"/>
  <c r="A22" i="47"/>
  <c r="C32" i="47"/>
  <c r="C41" i="47"/>
  <c r="F24" i="47"/>
  <c r="G27" i="47"/>
  <c r="D39" i="47"/>
  <c r="C22" i="47"/>
  <c r="C23" i="47"/>
  <c r="E50" i="47"/>
  <c r="B48" i="47"/>
  <c r="B44" i="47"/>
  <c r="E39" i="47"/>
  <c r="B36" i="47"/>
  <c r="B32" i="47"/>
  <c r="E27" i="47"/>
  <c r="E23" i="47"/>
  <c r="B20" i="47"/>
  <c r="D15" i="47"/>
  <c r="D36" i="47"/>
  <c r="D24" i="47"/>
  <c r="F49" i="47"/>
  <c r="C46" i="47"/>
  <c r="C42" i="47"/>
  <c r="F37" i="47"/>
  <c r="F33" i="47"/>
  <c r="C30" i="47"/>
  <c r="F25" i="47"/>
  <c r="F21" i="47"/>
  <c r="F17" i="47"/>
  <c r="G31" i="47"/>
  <c r="B22" i="47"/>
  <c r="F50" i="47"/>
  <c r="B46" i="47"/>
  <c r="B42" i="47"/>
  <c r="D32" i="47"/>
  <c r="B18" i="47"/>
  <c r="B35" i="47"/>
  <c r="D21" i="47"/>
  <c r="C40" i="47"/>
  <c r="E18" i="47"/>
  <c r="G44" i="47"/>
  <c r="C20" i="47"/>
  <c r="D25" i="47"/>
  <c r="E47" i="47"/>
  <c r="A43" i="47"/>
  <c r="A39" i="47"/>
  <c r="A35" i="47"/>
  <c r="D30" i="47"/>
  <c r="A27" i="47"/>
  <c r="A23" i="47"/>
  <c r="D18" i="47"/>
  <c r="F42" i="47"/>
  <c r="F34" i="47"/>
  <c r="A21" i="47"/>
  <c r="B49" i="47"/>
  <c r="B45" i="47"/>
  <c r="E40" i="47"/>
  <c r="B37" i="47"/>
  <c r="B33" i="47"/>
  <c r="E28" i="47"/>
  <c r="E24" i="47"/>
  <c r="B21" i="47"/>
  <c r="E16" i="47"/>
  <c r="B30" i="47"/>
  <c r="F18" i="47"/>
  <c r="E49" i="47"/>
  <c r="E45" i="47"/>
  <c r="G39" i="47"/>
  <c r="F26" i="47"/>
  <c r="D16" i="47"/>
  <c r="G32" i="47"/>
  <c r="A34" i="47"/>
  <c r="E15" i="47"/>
  <c r="E38" i="47"/>
  <c r="D17" i="47"/>
  <c r="G45" i="47"/>
  <c r="G41" i="47"/>
  <c r="D38" i="47"/>
  <c r="G33" i="47"/>
  <c r="G29" i="47"/>
  <c r="G25" i="47"/>
  <c r="C21" i="47"/>
  <c r="G17" i="47"/>
  <c r="E41" i="47"/>
  <c r="E29" i="47"/>
  <c r="E17" i="47"/>
  <c r="E48" i="47"/>
  <c r="A44" i="47"/>
  <c r="A40" i="47"/>
  <c r="A36" i="47"/>
  <c r="D31" i="47"/>
  <c r="A28" i="47"/>
  <c r="A24" i="47"/>
  <c r="D19" i="47"/>
  <c r="C15" i="47"/>
  <c r="D28" i="47"/>
  <c r="B15" i="47"/>
  <c r="D48" i="47"/>
  <c r="A45" i="47"/>
  <c r="A37" i="47"/>
  <c r="A25" i="47"/>
  <c r="C44" i="47"/>
  <c r="A26" i="47"/>
  <c r="B31" i="47"/>
  <c r="E19" i="47"/>
  <c r="F19" i="47"/>
  <c r="G49" i="47"/>
  <c r="D46" i="47"/>
  <c r="E43" i="47"/>
  <c r="F40" i="47"/>
  <c r="C37" i="47"/>
  <c r="D34" i="47"/>
  <c r="E31" i="47"/>
  <c r="B28" i="47"/>
  <c r="C25" i="47"/>
  <c r="D22" i="47"/>
  <c r="A19" i="47"/>
  <c r="B16" i="47"/>
  <c r="D40" i="47"/>
  <c r="C31" i="47"/>
  <c r="F22" i="47"/>
  <c r="G50" i="47"/>
  <c r="D47" i="47"/>
  <c r="E44" i="47"/>
  <c r="F41" i="47"/>
  <c r="C38" i="47"/>
  <c r="D35" i="47"/>
  <c r="E32" i="47"/>
  <c r="B29" i="47"/>
  <c r="C26" i="47"/>
  <c r="D23" i="47"/>
  <c r="A20" i="47"/>
  <c r="B17" i="47"/>
  <c r="G35" i="47"/>
  <c r="E25" i="47"/>
  <c r="A17" i="47"/>
  <c r="B50" i="47"/>
  <c r="C47" i="47"/>
  <c r="G43" i="47"/>
  <c r="F38" i="47"/>
  <c r="F30" i="47"/>
  <c r="G19" i="47"/>
  <c r="A42" i="47"/>
  <c r="E30" i="47"/>
  <c r="G16" i="47"/>
  <c r="B43" i="47"/>
  <c r="F27" i="47"/>
  <c r="D41" i="47"/>
  <c r="E26" i="47"/>
  <c r="A38" i="47"/>
  <c r="C49" i="47"/>
  <c r="A47" i="47"/>
  <c r="F44" i="47"/>
  <c r="D42" i="47"/>
  <c r="B40" i="47"/>
  <c r="G37" i="47"/>
  <c r="E35" i="47"/>
  <c r="C33" i="47"/>
  <c r="A31" i="47"/>
  <c r="F28" i="47"/>
  <c r="D26" i="47"/>
  <c r="B24" i="47"/>
  <c r="G21" i="47"/>
  <c r="C17" i="47"/>
  <c r="C39" i="47"/>
  <c r="A33" i="47"/>
  <c r="B26" i="47"/>
  <c r="C19" i="47"/>
  <c r="C50" i="47"/>
  <c r="A48" i="47"/>
  <c r="F45" i="47"/>
  <c r="D43" i="47"/>
  <c r="B41" i="47"/>
  <c r="G38" i="47"/>
  <c r="E36" i="47"/>
  <c r="C34" i="47"/>
  <c r="A32" i="47"/>
  <c r="F29" i="47"/>
  <c r="D27" i="47"/>
  <c r="B25" i="47"/>
  <c r="G22" i="47"/>
  <c r="E20" i="47"/>
  <c r="C18" i="47"/>
  <c r="A16" i="47"/>
  <c r="B34" i="47"/>
  <c r="C27" i="47"/>
  <c r="D20" i="47"/>
  <c r="A49" i="47"/>
  <c r="F46" i="47"/>
  <c r="D44" i="47"/>
  <c r="A41" i="47"/>
  <c r="C35" i="47"/>
  <c r="A29" i="47"/>
  <c r="E21" i="47"/>
  <c r="E46" i="47"/>
  <c r="D37" i="47"/>
  <c r="C28" i="47"/>
  <c r="B19" i="47"/>
  <c r="D49" i="47"/>
  <c r="G36" i="47"/>
  <c r="G24" i="47"/>
  <c r="D50" i="47"/>
  <c r="F47" i="47"/>
  <c r="F35" i="47"/>
  <c r="B23" i="47"/>
  <c r="F43" i="47"/>
  <c r="C36" i="47"/>
  <c r="G48" i="47"/>
  <c r="A18" i="47"/>
  <c r="C24" i="47"/>
  <c r="A30" i="47"/>
  <c r="E42" i="47"/>
  <c r="C48" i="47"/>
  <c r="C16" i="47"/>
  <c r="E22" i="47"/>
  <c r="G28" i="47"/>
  <c r="E34" i="47"/>
  <c r="G40" i="47"/>
  <c r="B47" i="47"/>
  <c r="A15" i="47"/>
  <c r="G20" i="47"/>
  <c r="A50" i="47"/>
  <c r="B27" i="47"/>
  <c r="D33" i="47"/>
  <c r="B39" i="47"/>
  <c r="D45" i="47"/>
  <c r="I29" i="14" l="1"/>
  <c r="I30" i="14" s="1"/>
  <c r="I31" i="14" s="1"/>
  <c r="I32" i="14" s="1"/>
  <c r="I33" i="14" s="1"/>
  <c r="I34" i="14" s="1"/>
  <c r="I35" i="14" s="1"/>
  <c r="I36" i="14" s="1"/>
  <c r="I13" i="14"/>
  <c r="I14" i="14" s="1"/>
  <c r="I15" i="14" s="1"/>
  <c r="I16" i="14" s="1"/>
  <c r="I17" i="14" s="1"/>
  <c r="I18" i="14" s="1"/>
  <c r="I37" i="14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78" i="14"/>
  <c r="G51" i="47"/>
  <c r="F15" i="47" l="1"/>
  <c r="F51" i="47" s="1"/>
  <c r="I52" i="47" s="1"/>
  <c r="H52" i="47" l="1"/>
  <c r="H15" i="47"/>
  <c r="I15" i="47"/>
  <c r="I16" i="47" l="1"/>
  <c r="H16" i="47"/>
  <c r="H17" i="47" l="1"/>
  <c r="I17" i="47"/>
  <c r="I18" i="47" l="1"/>
  <c r="H18" i="47"/>
  <c r="H19" i="47" l="1"/>
  <c r="I19" i="47"/>
  <c r="I20" i="47" l="1"/>
  <c r="H20" i="47"/>
  <c r="H21" i="47" l="1"/>
  <c r="I21" i="47"/>
  <c r="I22" i="47" s="1"/>
  <c r="M2440" i="34"/>
  <c r="F35" i="12" l="1" a="1"/>
  <c r="F35" i="12" s="1"/>
  <c r="E35" i="12" a="1"/>
  <c r="E35" i="12" s="1"/>
  <c r="F34" i="12" a="1"/>
  <c r="F34" i="12" s="1"/>
  <c r="E34" i="12" a="1"/>
  <c r="E34" i="12" s="1"/>
  <c r="E6" i="12" a="1"/>
  <c r="E6" i="12" s="1"/>
  <c r="E14" i="12" a="1"/>
  <c r="E14" i="12" s="1"/>
  <c r="F6" i="12" a="1"/>
  <c r="F6" i="12" s="1"/>
  <c r="E13" i="12" a="1"/>
  <c r="E13" i="12" s="1"/>
  <c r="E9" i="12" a="1"/>
  <c r="E9" i="12" s="1"/>
  <c r="F9" i="12" a="1"/>
  <c r="F9" i="12" s="1"/>
  <c r="F13" i="12" a="1"/>
  <c r="F13" i="12" s="1"/>
  <c r="E8" i="12" a="1"/>
  <c r="E8" i="12" s="1"/>
  <c r="F14" i="12" a="1"/>
  <c r="F14" i="12" s="1"/>
  <c r="F8" i="12" a="1"/>
  <c r="F8" i="12" s="1"/>
  <c r="F33" i="12" a="1"/>
  <c r="F33" i="12" s="1"/>
  <c r="E11" i="12" a="1"/>
  <c r="E11" i="12" s="1"/>
  <c r="F11" i="12" a="1"/>
  <c r="F11" i="12" s="1"/>
  <c r="E10" i="12" a="1"/>
  <c r="E10" i="12" s="1"/>
  <c r="E15" i="12" a="1"/>
  <c r="E15" i="12" s="1"/>
  <c r="F10" i="12" a="1"/>
  <c r="F10" i="12" s="1"/>
  <c r="E5" i="12" a="1"/>
  <c r="E5" i="12" s="1"/>
  <c r="F5" i="12" a="1"/>
  <c r="F5" i="12" s="1"/>
  <c r="E12" i="12" a="1"/>
  <c r="E12" i="12" s="1"/>
  <c r="E33" i="12" a="1"/>
  <c r="E33" i="12" s="1"/>
  <c r="F12" i="12" a="1"/>
  <c r="F12" i="12" s="1"/>
  <c r="E7" i="12" a="1"/>
  <c r="E7" i="12" s="1"/>
  <c r="F7" i="12" a="1"/>
  <c r="F7" i="12" s="1"/>
  <c r="F15" i="12" a="1"/>
  <c r="F15" i="12" s="1"/>
  <c r="F32" i="12" a="1"/>
  <c r="F32" i="12" s="1"/>
  <c r="E32" i="12" a="1"/>
  <c r="E32" i="12" s="1"/>
  <c r="F31" i="12" a="1"/>
  <c r="F31" i="12" s="1"/>
  <c r="E31" i="12" a="1"/>
  <c r="E31" i="12" s="1"/>
  <c r="F30" i="12" a="1"/>
  <c r="F30" i="12" s="1"/>
  <c r="E30" i="12" a="1"/>
  <c r="E30" i="12" s="1"/>
  <c r="F21" i="12" a="1"/>
  <c r="F21" i="12" s="1"/>
  <c r="E21" i="12" a="1"/>
  <c r="E21" i="12" s="1"/>
  <c r="E25" i="12" a="1"/>
  <c r="E25" i="12" s="1"/>
  <c r="F25" i="12" a="1"/>
  <c r="F25" i="12" s="1"/>
  <c r="F20" i="12" a="1"/>
  <c r="F20" i="12" s="1"/>
  <c r="E20" i="12" a="1"/>
  <c r="E20" i="12" s="1"/>
  <c r="E29" i="12" a="1"/>
  <c r="E29" i="12" s="1"/>
  <c r="F29" i="12" a="1"/>
  <c r="F29" i="12" s="1"/>
  <c r="E22" i="12" a="1"/>
  <c r="E22" i="12" s="1"/>
  <c r="F23" i="12" a="1"/>
  <c r="F23" i="12" s="1"/>
  <c r="E19" i="12" a="1"/>
  <c r="E19" i="12" s="1"/>
  <c r="F17" i="12" a="1"/>
  <c r="F17" i="12" s="1"/>
  <c r="E16" i="12" a="1"/>
  <c r="E16" i="12" s="1"/>
  <c r="F24" i="12" a="1"/>
  <c r="F24" i="12" s="1"/>
  <c r="E26" i="12" a="1"/>
  <c r="E26" i="12" s="1"/>
  <c r="E27" i="12" a="1"/>
  <c r="E27" i="12" s="1"/>
  <c r="F22" i="12" a="1"/>
  <c r="F22" i="12" s="1"/>
  <c r="F26" i="12" a="1"/>
  <c r="F26" i="12" s="1"/>
  <c r="F28" i="12" a="1"/>
  <c r="F28" i="12" s="1"/>
  <c r="F16" i="12" a="1"/>
  <c r="F16" i="12" s="1"/>
  <c r="F4" i="12" a="1"/>
  <c r="F4" i="12" s="1"/>
  <c r="E28" i="12" a="1"/>
  <c r="E28" i="12" s="1"/>
  <c r="F18" i="12" a="1"/>
  <c r="F18" i="12" s="1"/>
  <c r="F27" i="12" a="1"/>
  <c r="F27" i="12" s="1"/>
  <c r="F19" i="12" a="1"/>
  <c r="F19" i="12" s="1"/>
  <c r="H22" i="47"/>
  <c r="H23" i="47" s="1"/>
  <c r="E4" i="12" a="1"/>
  <c r="E4" i="12" s="1"/>
  <c r="E24" i="12" a="1"/>
  <c r="E24" i="12" s="1"/>
  <c r="E17" i="12" a="1"/>
  <c r="E17" i="12" s="1"/>
  <c r="E18" i="12" a="1"/>
  <c r="E18" i="12" s="1"/>
  <c r="E23" i="12" a="1"/>
  <c r="E23" i="12" s="1"/>
  <c r="H15" i="12" l="1"/>
  <c r="G23" i="12"/>
  <c r="G35" i="12"/>
  <c r="H35" i="12"/>
  <c r="H14" i="12"/>
  <c r="H10" i="12"/>
  <c r="H8" i="12"/>
  <c r="H13" i="12"/>
  <c r="H6" i="12"/>
  <c r="G33" i="12"/>
  <c r="G34" i="12"/>
  <c r="H5" i="12"/>
  <c r="H9" i="12"/>
  <c r="G11" i="12"/>
  <c r="H7" i="12"/>
  <c r="G12" i="12"/>
  <c r="H34" i="12"/>
  <c r="G8" i="12"/>
  <c r="G13" i="12"/>
  <c r="G15" i="12"/>
  <c r="H33" i="12"/>
  <c r="G7" i="12"/>
  <c r="G10" i="12"/>
  <c r="G14" i="12"/>
  <c r="H12" i="12"/>
  <c r="G5" i="12"/>
  <c r="H11" i="12"/>
  <c r="G9" i="12"/>
  <c r="G6" i="12"/>
  <c r="G32" i="12"/>
  <c r="H32" i="12"/>
  <c r="G31" i="12"/>
  <c r="G21" i="12"/>
  <c r="G30" i="12"/>
  <c r="H31" i="12"/>
  <c r="H30" i="12"/>
  <c r="H25" i="12"/>
  <c r="H21" i="12"/>
  <c r="G20" i="12"/>
  <c r="H20" i="12"/>
  <c r="G25" i="12"/>
  <c r="G29" i="12"/>
  <c r="H29" i="12"/>
  <c r="G17" i="12"/>
  <c r="H27" i="12"/>
  <c r="H28" i="12"/>
  <c r="G22" i="12"/>
  <c r="I23" i="47"/>
  <c r="I24" i="47" s="1"/>
  <c r="G26" i="12"/>
  <c r="H16" i="12"/>
  <c r="H22" i="12"/>
  <c r="G19" i="12"/>
  <c r="G24" i="12"/>
  <c r="H26" i="12"/>
  <c r="G16" i="12"/>
  <c r="G18" i="12"/>
  <c r="G4" i="12"/>
  <c r="G28" i="12"/>
  <c r="H19" i="12"/>
  <c r="G27" i="12"/>
  <c r="H23" i="12"/>
  <c r="E37" i="12"/>
  <c r="H24" i="12"/>
  <c r="F37" i="12"/>
  <c r="H18" i="12"/>
  <c r="H17" i="12"/>
  <c r="H4" i="12"/>
  <c r="H24" i="47" l="1"/>
  <c r="H25" i="47" s="1"/>
  <c r="G37" i="12"/>
  <c r="H37" i="12"/>
  <c r="I25" i="47" l="1"/>
  <c r="I26" i="47" s="1"/>
  <c r="H26" i="47" l="1"/>
  <c r="H27" i="47" s="1"/>
  <c r="I27" i="47" l="1"/>
  <c r="I28" i="47" s="1"/>
  <c r="H28" i="47" l="1"/>
  <c r="H29" i="47" s="1"/>
  <c r="I29" i="47" l="1"/>
  <c r="I30" i="47" s="1"/>
  <c r="H30" i="47" l="1"/>
  <c r="H31" i="47" s="1"/>
  <c r="I31" i="47" l="1"/>
  <c r="I32" i="47" s="1"/>
  <c r="H32" i="47" l="1"/>
  <c r="H33" i="47" s="1"/>
  <c r="I33" i="47" l="1"/>
  <c r="I34" i="47" s="1"/>
  <c r="H34" i="47" l="1"/>
  <c r="H35" i="47" s="1"/>
  <c r="I35" i="47" l="1"/>
  <c r="I36" i="47" s="1"/>
  <c r="H36" i="47" l="1"/>
  <c r="H37" i="47" s="1"/>
  <c r="I37" i="47" l="1"/>
  <c r="I38" i="47" s="1"/>
  <c r="H38" i="47" l="1"/>
  <c r="H39" i="47" s="1"/>
  <c r="I39" i="47" l="1"/>
  <c r="I40" i="47" s="1"/>
  <c r="H40" i="47" l="1"/>
  <c r="H41" i="47" s="1"/>
  <c r="I41" i="47" l="1"/>
  <c r="I42" i="47" s="1"/>
  <c r="H42" i="47" l="1"/>
  <c r="H43" i="47" s="1"/>
  <c r="I43" i="47" l="1"/>
  <c r="I44" i="47" s="1"/>
  <c r="H44" i="47" l="1"/>
  <c r="H45" i="47" s="1"/>
  <c r="I45" i="47" l="1"/>
  <c r="I46" i="47" s="1"/>
  <c r="H46" i="47" l="1"/>
  <c r="H47" i="47" s="1"/>
  <c r="I47" i="47" l="1"/>
  <c r="I48" i="47" s="1"/>
  <c r="H48" i="47" l="1"/>
  <c r="H49" i="47" s="1"/>
  <c r="I49" i="47" l="1"/>
  <c r="I50" i="47" s="1"/>
  <c r="H50" i="47" l="1"/>
  <c r="C14" i="39"/>
  <c r="C12" i="34" l="1"/>
  <c r="B12" i="34" l="1"/>
  <c r="Q12" i="34" l="1"/>
  <c r="R12" i="34"/>
  <c r="S12" i="34"/>
  <c r="A12" i="34"/>
  <c r="H126" i="42" l="1"/>
  <c r="H103" i="42"/>
  <c r="I13" i="42"/>
  <c r="A105" i="42"/>
  <c r="E105" i="42"/>
  <c r="A106" i="42"/>
  <c r="E106" i="42"/>
  <c r="A107" i="42"/>
  <c r="E107" i="42"/>
  <c r="A108" i="42"/>
  <c r="E108" i="42"/>
  <c r="A109" i="42"/>
  <c r="E109" i="42"/>
  <c r="A110" i="42"/>
  <c r="E110" i="42"/>
  <c r="A111" i="42"/>
  <c r="E111" i="42"/>
  <c r="A112" i="42"/>
  <c r="E112" i="42"/>
  <c r="A113" i="42"/>
  <c r="E113" i="42"/>
  <c r="A114" i="42"/>
  <c r="E114" i="42"/>
  <c r="A115" i="42"/>
  <c r="E115" i="42"/>
  <c r="A116" i="42"/>
  <c r="E116" i="42"/>
  <c r="A117" i="42"/>
  <c r="E117" i="42"/>
  <c r="A118" i="42"/>
  <c r="E118" i="42"/>
  <c r="A119" i="42"/>
  <c r="E119" i="42"/>
  <c r="A120" i="42"/>
  <c r="E120" i="42"/>
  <c r="A121" i="42"/>
  <c r="E121" i="42"/>
  <c r="A122" i="42"/>
  <c r="E122" i="42"/>
  <c r="A123" i="42"/>
  <c r="E123" i="42"/>
  <c r="A124" i="42"/>
  <c r="E124" i="42"/>
  <c r="A125" i="42"/>
  <c r="E125" i="42"/>
  <c r="A126" i="42"/>
  <c r="E126" i="42"/>
  <c r="A127" i="42"/>
  <c r="E127" i="42"/>
  <c r="A128" i="42"/>
  <c r="E128" i="42"/>
  <c r="A129" i="42"/>
  <c r="E129" i="42"/>
  <c r="A130" i="42"/>
  <c r="E130" i="42"/>
  <c r="A131" i="42"/>
  <c r="E131" i="42"/>
  <c r="A132" i="42"/>
  <c r="E132" i="42"/>
  <c r="A133" i="42"/>
  <c r="E133" i="42"/>
  <c r="A134" i="42"/>
  <c r="E134" i="42"/>
  <c r="A135" i="42"/>
  <c r="E135" i="42"/>
  <c r="A136" i="42"/>
  <c r="E136" i="42"/>
  <c r="A137" i="42"/>
  <c r="E137" i="42"/>
  <c r="A138" i="42"/>
  <c r="E138" i="42"/>
  <c r="A139" i="42"/>
  <c r="E139" i="42"/>
  <c r="A140" i="42"/>
  <c r="E140" i="42"/>
  <c r="A141" i="42"/>
  <c r="E141" i="42"/>
  <c r="A142" i="42"/>
  <c r="E142" i="42"/>
  <c r="A143" i="42"/>
  <c r="E143" i="42"/>
  <c r="A144" i="42"/>
  <c r="B105" i="42"/>
  <c r="F105" i="42"/>
  <c r="B106" i="42"/>
  <c r="F106" i="42"/>
  <c r="B107" i="42"/>
  <c r="F107" i="42"/>
  <c r="B108" i="42"/>
  <c r="F108" i="42"/>
  <c r="B109" i="42"/>
  <c r="F109" i="42"/>
  <c r="B110" i="42"/>
  <c r="F110" i="42"/>
  <c r="B111" i="42"/>
  <c r="F111" i="42"/>
  <c r="B112" i="42"/>
  <c r="F112" i="42"/>
  <c r="B113" i="42"/>
  <c r="F113" i="42"/>
  <c r="B114" i="42"/>
  <c r="F114" i="42"/>
  <c r="B115" i="42"/>
  <c r="F115" i="42"/>
  <c r="B116" i="42"/>
  <c r="F116" i="42"/>
  <c r="B117" i="42"/>
  <c r="F117" i="42"/>
  <c r="B118" i="42"/>
  <c r="F118" i="42"/>
  <c r="B119" i="42"/>
  <c r="F119" i="42"/>
  <c r="B120" i="42"/>
  <c r="F120" i="42"/>
  <c r="B121" i="42"/>
  <c r="F121" i="42"/>
  <c r="B122" i="42"/>
  <c r="F122" i="42"/>
  <c r="B123" i="42"/>
  <c r="F123" i="42"/>
  <c r="B124" i="42"/>
  <c r="F124" i="42"/>
  <c r="B125" i="42"/>
  <c r="F125" i="42"/>
  <c r="B126" i="42"/>
  <c r="F126" i="42"/>
  <c r="B127" i="42"/>
  <c r="F127" i="42"/>
  <c r="B128" i="42"/>
  <c r="F128" i="42"/>
  <c r="B129" i="42"/>
  <c r="F129" i="42"/>
  <c r="B130" i="42"/>
  <c r="F130" i="42"/>
  <c r="B131" i="42"/>
  <c r="F131" i="42"/>
  <c r="B132" i="42"/>
  <c r="F132" i="42"/>
  <c r="B133" i="42"/>
  <c r="F133" i="42"/>
  <c r="B134" i="42"/>
  <c r="F134" i="42"/>
  <c r="B135" i="42"/>
  <c r="F135" i="42"/>
  <c r="B136" i="42"/>
  <c r="F136" i="42"/>
  <c r="B137" i="42"/>
  <c r="F137" i="42"/>
  <c r="B138" i="42"/>
  <c r="F138" i="42"/>
  <c r="B139" i="42"/>
  <c r="F139" i="42"/>
  <c r="B140" i="42"/>
  <c r="F140" i="42"/>
  <c r="B141" i="42"/>
  <c r="F141" i="42"/>
  <c r="B142" i="42"/>
  <c r="F142" i="42"/>
  <c r="B143" i="42"/>
  <c r="F143" i="42"/>
  <c r="B144" i="42"/>
  <c r="F144" i="42"/>
  <c r="B145" i="42"/>
  <c r="F145" i="42"/>
  <c r="B146" i="42"/>
  <c r="F146" i="42"/>
  <c r="B147" i="42"/>
  <c r="C105" i="42"/>
  <c r="G105" i="42"/>
  <c r="C106" i="42"/>
  <c r="G106" i="42"/>
  <c r="C107" i="42"/>
  <c r="G107" i="42"/>
  <c r="C108" i="42"/>
  <c r="G108" i="42"/>
  <c r="C109" i="42"/>
  <c r="G109" i="42"/>
  <c r="C110" i="42"/>
  <c r="G110" i="42"/>
  <c r="C111" i="42"/>
  <c r="G111" i="42"/>
  <c r="C112" i="42"/>
  <c r="G112" i="42"/>
  <c r="C113" i="42"/>
  <c r="G113" i="42"/>
  <c r="C114" i="42"/>
  <c r="G114" i="42"/>
  <c r="C115" i="42"/>
  <c r="G115" i="42"/>
  <c r="C116" i="42"/>
  <c r="G116" i="42"/>
  <c r="C117" i="42"/>
  <c r="G117" i="42"/>
  <c r="C118" i="42"/>
  <c r="G118" i="42"/>
  <c r="C119" i="42"/>
  <c r="G119" i="42"/>
  <c r="C120" i="42"/>
  <c r="G120" i="42"/>
  <c r="C121" i="42"/>
  <c r="G121" i="42"/>
  <c r="C122" i="42"/>
  <c r="G122" i="42"/>
  <c r="C123" i="42"/>
  <c r="G123" i="42"/>
  <c r="C124" i="42"/>
  <c r="G124" i="42"/>
  <c r="C125" i="42"/>
  <c r="G125" i="42"/>
  <c r="C126" i="42"/>
  <c r="G126" i="42"/>
  <c r="C127" i="42"/>
  <c r="G127" i="42"/>
  <c r="C128" i="42"/>
  <c r="G128" i="42"/>
  <c r="C129" i="42"/>
  <c r="G129" i="42"/>
  <c r="C130" i="42"/>
  <c r="G130" i="42"/>
  <c r="C131" i="42"/>
  <c r="G131" i="42"/>
  <c r="C132" i="42"/>
  <c r="G132" i="42"/>
  <c r="C133" i="42"/>
  <c r="G133" i="42"/>
  <c r="C134" i="42"/>
  <c r="G134" i="42"/>
  <c r="C135" i="42"/>
  <c r="G135" i="42"/>
  <c r="C136" i="42"/>
  <c r="G136" i="42"/>
  <c r="C137" i="42"/>
  <c r="G137" i="42"/>
  <c r="C138" i="42"/>
  <c r="G138" i="42"/>
  <c r="C139" i="42"/>
  <c r="G139" i="42"/>
  <c r="C140" i="42"/>
  <c r="G140" i="42"/>
  <c r="C141" i="42"/>
  <c r="G141" i="42"/>
  <c r="C142" i="42"/>
  <c r="G142" i="42"/>
  <c r="D105" i="42"/>
  <c r="H105" i="42"/>
  <c r="D106" i="42"/>
  <c r="H106" i="42"/>
  <c r="D107" i="42"/>
  <c r="H107" i="42"/>
  <c r="D108" i="42"/>
  <c r="H108" i="42"/>
  <c r="D109" i="42"/>
  <c r="H109" i="42"/>
  <c r="D110" i="42"/>
  <c r="H110" i="42"/>
  <c r="D111" i="42"/>
  <c r="H111" i="42"/>
  <c r="D112" i="42"/>
  <c r="H112" i="42"/>
  <c r="D113" i="42"/>
  <c r="H113" i="42"/>
  <c r="D114" i="42"/>
  <c r="H114" i="42"/>
  <c r="D115" i="42"/>
  <c r="H115" i="42"/>
  <c r="D116" i="42"/>
  <c r="H116" i="42"/>
  <c r="D117" i="42"/>
  <c r="H117" i="42"/>
  <c r="D118" i="42"/>
  <c r="H118" i="42"/>
  <c r="D119" i="42"/>
  <c r="H119" i="42"/>
  <c r="H121" i="42"/>
  <c r="H123" i="42"/>
  <c r="H125" i="42"/>
  <c r="H127" i="42"/>
  <c r="H129" i="42"/>
  <c r="H131" i="42"/>
  <c r="H133" i="42"/>
  <c r="H135" i="42"/>
  <c r="H137" i="42"/>
  <c r="H139" i="42"/>
  <c r="H141" i="42"/>
  <c r="D143" i="42"/>
  <c r="D144" i="42"/>
  <c r="A145" i="42"/>
  <c r="G145" i="42"/>
  <c r="D146" i="42"/>
  <c r="A147" i="42"/>
  <c r="F147" i="42"/>
  <c r="B148" i="42"/>
  <c r="F148" i="42"/>
  <c r="B149" i="42"/>
  <c r="F149" i="42"/>
  <c r="B150" i="42"/>
  <c r="F150" i="42"/>
  <c r="B151" i="42"/>
  <c r="F151" i="42"/>
  <c r="B152" i="42"/>
  <c r="F152" i="42"/>
  <c r="B153" i="42"/>
  <c r="F153" i="42"/>
  <c r="B154" i="42"/>
  <c r="F154" i="42"/>
  <c r="B155" i="42"/>
  <c r="F155" i="42"/>
  <c r="B156" i="42"/>
  <c r="F156" i="42"/>
  <c r="B157" i="42"/>
  <c r="F157" i="42"/>
  <c r="B158" i="42"/>
  <c r="F158" i="42"/>
  <c r="B159" i="42"/>
  <c r="F159" i="42"/>
  <c r="B160" i="42"/>
  <c r="F160" i="42"/>
  <c r="B161" i="42"/>
  <c r="F161" i="42"/>
  <c r="B162" i="42"/>
  <c r="F162" i="42"/>
  <c r="B163" i="42"/>
  <c r="F163" i="42"/>
  <c r="B164" i="42"/>
  <c r="F164" i="42"/>
  <c r="B165" i="42"/>
  <c r="F165" i="42"/>
  <c r="A166" i="42"/>
  <c r="E166" i="42"/>
  <c r="A167" i="42"/>
  <c r="E167" i="42"/>
  <c r="D168" i="42"/>
  <c r="H168" i="42"/>
  <c r="D169" i="42"/>
  <c r="H169" i="42"/>
  <c r="C170" i="42"/>
  <c r="G170" i="42"/>
  <c r="C171" i="42"/>
  <c r="G171" i="42"/>
  <c r="B172" i="42"/>
  <c r="F172" i="42"/>
  <c r="B173" i="42"/>
  <c r="F173" i="42"/>
  <c r="A174" i="42"/>
  <c r="E174" i="42"/>
  <c r="A175" i="42"/>
  <c r="E175" i="42"/>
  <c r="D176" i="42"/>
  <c r="H176" i="42"/>
  <c r="D177" i="42"/>
  <c r="H177" i="42"/>
  <c r="C178" i="42"/>
  <c r="G178" i="42"/>
  <c r="C179" i="42"/>
  <c r="D120" i="42"/>
  <c r="D122" i="42"/>
  <c r="D124" i="42"/>
  <c r="D126" i="42"/>
  <c r="D128" i="42"/>
  <c r="D130" i="42"/>
  <c r="D132" i="42"/>
  <c r="D134" i="42"/>
  <c r="D136" i="42"/>
  <c r="D138" i="42"/>
  <c r="D140" i="42"/>
  <c r="D142" i="42"/>
  <c r="G143" i="42"/>
  <c r="E144" i="42"/>
  <c r="C145" i="42"/>
  <c r="H145" i="42"/>
  <c r="E146" i="42"/>
  <c r="C147" i="42"/>
  <c r="G147" i="42"/>
  <c r="C148" i="42"/>
  <c r="G148" i="42"/>
  <c r="C149" i="42"/>
  <c r="G149" i="42"/>
  <c r="C150" i="42"/>
  <c r="G150" i="42"/>
  <c r="C151" i="42"/>
  <c r="G151" i="42"/>
  <c r="C152" i="42"/>
  <c r="G152" i="42"/>
  <c r="C153" i="42"/>
  <c r="G153" i="42"/>
  <c r="C154" i="42"/>
  <c r="G154" i="42"/>
  <c r="C155" i="42"/>
  <c r="G155" i="42"/>
  <c r="C156" i="42"/>
  <c r="G156" i="42"/>
  <c r="C157" i="42"/>
  <c r="G157" i="42"/>
  <c r="C158" i="42"/>
  <c r="G158" i="42"/>
  <c r="C159" i="42"/>
  <c r="G159" i="42"/>
  <c r="C160" i="42"/>
  <c r="G160" i="42"/>
  <c r="C161" i="42"/>
  <c r="G161" i="42"/>
  <c r="C162" i="42"/>
  <c r="G162" i="42"/>
  <c r="C163" i="42"/>
  <c r="G163" i="42"/>
  <c r="C164" i="42"/>
  <c r="G164" i="42"/>
  <c r="C165" i="42"/>
  <c r="G165" i="42"/>
  <c r="B166" i="42"/>
  <c r="F166" i="42"/>
  <c r="B167" i="42"/>
  <c r="F167" i="42"/>
  <c r="A168" i="42"/>
  <c r="E168" i="42"/>
  <c r="A169" i="42"/>
  <c r="E169" i="42"/>
  <c r="D170" i="42"/>
  <c r="H170" i="42"/>
  <c r="D171" i="42"/>
  <c r="H171" i="42"/>
  <c r="C172" i="42"/>
  <c r="G172" i="42"/>
  <c r="C173" i="42"/>
  <c r="G173" i="42"/>
  <c r="B174" i="42"/>
  <c r="F174" i="42"/>
  <c r="B175" i="42"/>
  <c r="F175" i="42"/>
  <c r="A176" i="42"/>
  <c r="E176" i="42"/>
  <c r="A177" i="42"/>
  <c r="E177" i="42"/>
  <c r="D178" i="42"/>
  <c r="H120" i="42"/>
  <c r="H122" i="42"/>
  <c r="H124" i="42"/>
  <c r="H128" i="42"/>
  <c r="H130" i="42"/>
  <c r="H132" i="42"/>
  <c r="H134" i="42"/>
  <c r="H136" i="42"/>
  <c r="H138" i="42"/>
  <c r="H140" i="42"/>
  <c r="H142" i="42"/>
  <c r="H143" i="42"/>
  <c r="G144" i="42"/>
  <c r="D145" i="42"/>
  <c r="A146" i="42"/>
  <c r="G146" i="42"/>
  <c r="D147" i="42"/>
  <c r="H147" i="42"/>
  <c r="D148" i="42"/>
  <c r="H148" i="42"/>
  <c r="D149" i="42"/>
  <c r="H149" i="42"/>
  <c r="D150" i="42"/>
  <c r="H150" i="42"/>
  <c r="D151" i="42"/>
  <c r="H151" i="42"/>
  <c r="D152" i="42"/>
  <c r="H152" i="42"/>
  <c r="D153" i="42"/>
  <c r="H153" i="42"/>
  <c r="D154" i="42"/>
  <c r="H154" i="42"/>
  <c r="D155" i="42"/>
  <c r="H155" i="42"/>
  <c r="D156" i="42"/>
  <c r="H156" i="42"/>
  <c r="D157" i="42"/>
  <c r="H157" i="42"/>
  <c r="D158" i="42"/>
  <c r="H158" i="42"/>
  <c r="D159" i="42"/>
  <c r="H159" i="42"/>
  <c r="D160" i="42"/>
  <c r="H160" i="42"/>
  <c r="D161" i="42"/>
  <c r="H161" i="42"/>
  <c r="D162" i="42"/>
  <c r="H162" i="42"/>
  <c r="D163" i="42"/>
  <c r="H163" i="42"/>
  <c r="D164" i="42"/>
  <c r="H164" i="42"/>
  <c r="D165" i="42"/>
  <c r="H165" i="42"/>
  <c r="C166" i="42"/>
  <c r="G166" i="42"/>
  <c r="C167" i="42"/>
  <c r="G167" i="42"/>
  <c r="B168" i="42"/>
  <c r="F168" i="42"/>
  <c r="B169" i="42"/>
  <c r="F169" i="42"/>
  <c r="A170" i="42"/>
  <c r="E170" i="42"/>
  <c r="A171" i="42"/>
  <c r="E171" i="42"/>
  <c r="D172" i="42"/>
  <c r="H172" i="42"/>
  <c r="D173" i="42"/>
  <c r="H173" i="42"/>
  <c r="C174" i="42"/>
  <c r="G174" i="42"/>
  <c r="C175" i="42"/>
  <c r="G175" i="42"/>
  <c r="B176" i="42"/>
  <c r="F176" i="42"/>
  <c r="B177" i="42"/>
  <c r="F177" i="42"/>
  <c r="D121" i="42"/>
  <c r="D123" i="42"/>
  <c r="D125" i="42"/>
  <c r="D127" i="42"/>
  <c r="D129" i="42"/>
  <c r="D131" i="42"/>
  <c r="D133" i="42"/>
  <c r="D135" i="42"/>
  <c r="D137" i="42"/>
  <c r="D139" i="42"/>
  <c r="D141" i="42"/>
  <c r="C143" i="42"/>
  <c r="C144" i="42"/>
  <c r="H144" i="42"/>
  <c r="E145" i="42"/>
  <c r="C146" i="42"/>
  <c r="H146" i="42"/>
  <c r="E147" i="42"/>
  <c r="A148" i="42"/>
  <c r="E148" i="42"/>
  <c r="A149" i="42"/>
  <c r="E149" i="42"/>
  <c r="A150" i="42"/>
  <c r="E150" i="42"/>
  <c r="A151" i="42"/>
  <c r="E151" i="42"/>
  <c r="A152" i="42"/>
  <c r="E152" i="42"/>
  <c r="A153" i="42"/>
  <c r="E153" i="42"/>
  <c r="A154" i="42"/>
  <c r="E154" i="42"/>
  <c r="A155" i="42"/>
  <c r="E155" i="42"/>
  <c r="A156" i="42"/>
  <c r="E156" i="42"/>
  <c r="A157" i="42"/>
  <c r="E157" i="42"/>
  <c r="A158" i="42"/>
  <c r="E158" i="42"/>
  <c r="A159" i="42"/>
  <c r="E159" i="42"/>
  <c r="A160" i="42"/>
  <c r="E160" i="42"/>
  <c r="A161" i="42"/>
  <c r="E161" i="42"/>
  <c r="A162" i="42"/>
  <c r="E162" i="42"/>
  <c r="A163" i="42"/>
  <c r="E163" i="42"/>
  <c r="A164" i="42"/>
  <c r="E164" i="42"/>
  <c r="A165" i="42"/>
  <c r="E165" i="42"/>
  <c r="D166" i="42"/>
  <c r="H166" i="42"/>
  <c r="D167" i="42"/>
  <c r="H167" i="42"/>
  <c r="C168" i="42"/>
  <c r="G168" i="42"/>
  <c r="C169" i="42"/>
  <c r="G169" i="42"/>
  <c r="B170" i="42"/>
  <c r="F170" i="42"/>
  <c r="B171" i="42"/>
  <c r="F171" i="42"/>
  <c r="A172" i="42"/>
  <c r="E172" i="42"/>
  <c r="A173" i="42"/>
  <c r="E173" i="42"/>
  <c r="D174" i="42"/>
  <c r="H174" i="42"/>
  <c r="D175" i="42"/>
  <c r="H175" i="42"/>
  <c r="C176" i="42"/>
  <c r="G176" i="42"/>
  <c r="C177" i="42"/>
  <c r="G177" i="42"/>
  <c r="B178" i="42"/>
  <c r="F178" i="42"/>
  <c r="B179" i="42"/>
  <c r="F179" i="42"/>
  <c r="B180" i="42"/>
  <c r="A178" i="42"/>
  <c r="D179" i="42"/>
  <c r="A180" i="42"/>
  <c r="F180" i="42"/>
  <c r="A181" i="42"/>
  <c r="E181" i="42"/>
  <c r="A182" i="42"/>
  <c r="E182" i="42"/>
  <c r="A183" i="42"/>
  <c r="E183" i="42"/>
  <c r="A184" i="42"/>
  <c r="E184" i="42"/>
  <c r="D185" i="42"/>
  <c r="H185" i="42"/>
  <c r="D186" i="42"/>
  <c r="H186" i="42"/>
  <c r="D187" i="42"/>
  <c r="H187" i="42"/>
  <c r="D188" i="42"/>
  <c r="H188" i="42"/>
  <c r="C189" i="42"/>
  <c r="G189" i="42"/>
  <c r="C190" i="42"/>
  <c r="G190" i="42"/>
  <c r="C191" i="42"/>
  <c r="G191" i="42"/>
  <c r="C192" i="42"/>
  <c r="G192" i="42"/>
  <c r="B193" i="42"/>
  <c r="F193" i="42"/>
  <c r="B194" i="42"/>
  <c r="F194" i="42"/>
  <c r="E178" i="42"/>
  <c r="E179" i="42"/>
  <c r="C180" i="42"/>
  <c r="G180" i="42"/>
  <c r="B181" i="42"/>
  <c r="F181" i="42"/>
  <c r="B182" i="42"/>
  <c r="F182" i="42"/>
  <c r="B183" i="42"/>
  <c r="F183" i="42"/>
  <c r="B184" i="42"/>
  <c r="F184" i="42"/>
  <c r="A185" i="42"/>
  <c r="E185" i="42"/>
  <c r="A186" i="42"/>
  <c r="E186" i="42"/>
  <c r="A187" i="42"/>
  <c r="E187" i="42"/>
  <c r="A188" i="42"/>
  <c r="E188" i="42"/>
  <c r="D189" i="42"/>
  <c r="H189" i="42"/>
  <c r="D190" i="42"/>
  <c r="H190" i="42"/>
  <c r="D191" i="42"/>
  <c r="H191" i="42"/>
  <c r="D192" i="42"/>
  <c r="H192" i="42"/>
  <c r="C193" i="42"/>
  <c r="G193" i="42"/>
  <c r="C194" i="42"/>
  <c r="G194" i="42"/>
  <c r="H178" i="42"/>
  <c r="G179" i="42"/>
  <c r="D180" i="42"/>
  <c r="H180" i="42"/>
  <c r="C181" i="42"/>
  <c r="G181" i="42"/>
  <c r="C182" i="42"/>
  <c r="G182" i="42"/>
  <c r="C183" i="42"/>
  <c r="G183" i="42"/>
  <c r="C184" i="42"/>
  <c r="G184" i="42"/>
  <c r="B185" i="42"/>
  <c r="F185" i="42"/>
  <c r="B186" i="42"/>
  <c r="F186" i="42"/>
  <c r="B187" i="42"/>
  <c r="F187" i="42"/>
  <c r="B188" i="42"/>
  <c r="F188" i="42"/>
  <c r="A189" i="42"/>
  <c r="E189" i="42"/>
  <c r="A190" i="42"/>
  <c r="E190" i="42"/>
  <c r="A191" i="42"/>
  <c r="E191" i="42"/>
  <c r="I191" i="42" s="1"/>
  <c r="A192" i="42"/>
  <c r="E192" i="42"/>
  <c r="I192" i="42" s="1"/>
  <c r="D193" i="42"/>
  <c r="H193" i="42"/>
  <c r="D194" i="42"/>
  <c r="H194" i="42"/>
  <c r="A179" i="42"/>
  <c r="H179" i="42"/>
  <c r="E180" i="42"/>
  <c r="D181" i="42"/>
  <c r="H181" i="42"/>
  <c r="D182" i="42"/>
  <c r="H182" i="42"/>
  <c r="D183" i="42"/>
  <c r="H183" i="42"/>
  <c r="D184" i="42"/>
  <c r="H184" i="42"/>
  <c r="C185" i="42"/>
  <c r="G185" i="42"/>
  <c r="C186" i="42"/>
  <c r="G186" i="42"/>
  <c r="C187" i="42"/>
  <c r="G187" i="42"/>
  <c r="C188" i="42"/>
  <c r="G188" i="42"/>
  <c r="B189" i="42"/>
  <c r="F189" i="42"/>
  <c r="B190" i="42"/>
  <c r="F190" i="42"/>
  <c r="B191" i="42"/>
  <c r="F191" i="42"/>
  <c r="B192" i="42"/>
  <c r="F192" i="42"/>
  <c r="A193" i="42"/>
  <c r="E193" i="42"/>
  <c r="I193" i="42" s="1"/>
  <c r="A194" i="42"/>
  <c r="E194" i="42"/>
  <c r="I194" i="42" s="1"/>
  <c r="F93" i="42"/>
  <c r="C73" i="42"/>
  <c r="A42" i="42"/>
  <c r="H53" i="42"/>
  <c r="F99" i="42"/>
  <c r="D71" i="42"/>
  <c r="B24" i="42"/>
  <c r="G101" i="42"/>
  <c r="D26" i="42"/>
  <c r="H102" i="42"/>
  <c r="G21" i="42"/>
  <c r="G52" i="42"/>
  <c r="F37" i="42"/>
  <c r="A85" i="42"/>
  <c r="B15" i="42"/>
  <c r="D56" i="42"/>
  <c r="C93" i="42"/>
  <c r="D103" i="42"/>
  <c r="G79" i="42"/>
  <c r="F86" i="42"/>
  <c r="H70" i="42"/>
  <c r="F54" i="42"/>
  <c r="B21" i="42"/>
  <c r="D98" i="42"/>
  <c r="F39" i="42"/>
  <c r="F74" i="42"/>
  <c r="G39" i="42"/>
  <c r="B71" i="42"/>
  <c r="H78" i="42"/>
  <c r="D65" i="42"/>
  <c r="A24" i="42"/>
  <c r="C18" i="42"/>
  <c r="G73" i="42"/>
  <c r="D45" i="42"/>
  <c r="F81" i="42"/>
  <c r="C43" i="42"/>
  <c r="G41" i="42"/>
  <c r="B79" i="42"/>
  <c r="G18" i="42"/>
  <c r="C35" i="42"/>
  <c r="H27" i="42"/>
  <c r="A40" i="42"/>
  <c r="C72" i="42"/>
  <c r="A69" i="42"/>
  <c r="B76" i="42"/>
  <c r="B47" i="42"/>
  <c r="G59" i="42"/>
  <c r="F80" i="42"/>
  <c r="G62" i="42"/>
  <c r="G26" i="42"/>
  <c r="G68" i="42"/>
  <c r="H67" i="42"/>
  <c r="G104" i="42"/>
  <c r="A47" i="42"/>
  <c r="D16" i="42"/>
  <c r="G42" i="42"/>
  <c r="D101" i="42"/>
  <c r="B37" i="42"/>
  <c r="H91" i="42"/>
  <c r="G84" i="42"/>
  <c r="C97" i="42"/>
  <c r="A16" i="42"/>
  <c r="H23" i="42"/>
  <c r="F83" i="42"/>
  <c r="H81" i="42"/>
  <c r="G94" i="42"/>
  <c r="F50" i="42"/>
  <c r="F62" i="42"/>
  <c r="C23" i="42"/>
  <c r="F20" i="42"/>
  <c r="A55" i="42"/>
  <c r="H57" i="42"/>
  <c r="G103" i="42"/>
  <c r="H33" i="42"/>
  <c r="B40" i="42"/>
  <c r="B93" i="42"/>
  <c r="A15" i="42"/>
  <c r="H95" i="42"/>
  <c r="C56" i="42"/>
  <c r="G44" i="42"/>
  <c r="A25" i="42"/>
  <c r="C68" i="42"/>
  <c r="F59" i="42"/>
  <c r="F100" i="42"/>
  <c r="F96" i="42"/>
  <c r="D102" i="42"/>
  <c r="G31" i="42"/>
  <c r="A93" i="42"/>
  <c r="G49" i="42"/>
  <c r="B101" i="42"/>
  <c r="B68" i="42"/>
  <c r="C32" i="42"/>
  <c r="D66" i="42"/>
  <c r="H47" i="42"/>
  <c r="D21" i="42"/>
  <c r="H97" i="42"/>
  <c r="H45" i="42"/>
  <c r="F34" i="42"/>
  <c r="D64" i="42"/>
  <c r="C29" i="42"/>
  <c r="D59" i="42"/>
  <c r="F76" i="42"/>
  <c r="D68" i="42"/>
  <c r="F42" i="42"/>
  <c r="A71" i="42"/>
  <c r="C48" i="42"/>
  <c r="H89" i="42"/>
  <c r="A84" i="42"/>
  <c r="D58" i="42"/>
  <c r="C90" i="42"/>
  <c r="H63" i="42"/>
  <c r="B14" i="42"/>
  <c r="G102" i="42"/>
  <c r="A100" i="42"/>
  <c r="D85" i="42"/>
  <c r="A39" i="42"/>
  <c r="C60" i="42"/>
  <c r="C46" i="42"/>
  <c r="H61" i="42"/>
  <c r="F17" i="42"/>
  <c r="B16" i="42"/>
  <c r="D74" i="42"/>
  <c r="A102" i="42"/>
  <c r="D78" i="42"/>
  <c r="A104" i="42"/>
  <c r="D104" i="42"/>
  <c r="C31" i="42"/>
  <c r="G77" i="42"/>
  <c r="H19" i="42"/>
  <c r="F64" i="42"/>
  <c r="F104" i="42"/>
  <c r="C71" i="42"/>
  <c r="D36" i="42"/>
  <c r="G67" i="42"/>
  <c r="C89" i="42"/>
  <c r="A72" i="42"/>
  <c r="A76" i="42"/>
  <c r="D77" i="42"/>
  <c r="C16" i="42"/>
  <c r="B58" i="42"/>
  <c r="B102" i="42"/>
  <c r="F89" i="42"/>
  <c r="H22" i="42"/>
  <c r="H65" i="42"/>
  <c r="B90" i="42"/>
  <c r="D42" i="42"/>
  <c r="F47" i="42"/>
  <c r="D22" i="42"/>
  <c r="F92" i="42"/>
  <c r="F97" i="42"/>
  <c r="C45" i="42"/>
  <c r="B98" i="42"/>
  <c r="D33" i="42"/>
  <c r="F71" i="42"/>
  <c r="H98" i="42"/>
  <c r="G36" i="42"/>
  <c r="D76" i="42"/>
  <c r="H34" i="42"/>
  <c r="H100" i="42"/>
  <c r="D29" i="42"/>
  <c r="G47" i="42"/>
  <c r="F73" i="42"/>
  <c r="H85" i="42"/>
  <c r="D50" i="42"/>
  <c r="H16" i="42"/>
  <c r="F95" i="42"/>
  <c r="B91" i="42"/>
  <c r="B74" i="42"/>
  <c r="H54" i="42"/>
  <c r="D72" i="42"/>
  <c r="A52" i="42"/>
  <c r="C55" i="42"/>
  <c r="F101" i="42"/>
  <c r="G78" i="42"/>
  <c r="B81" i="42"/>
  <c r="H68" i="42"/>
  <c r="D24" i="42"/>
  <c r="H25" i="42"/>
  <c r="C40" i="42"/>
  <c r="D88" i="42"/>
  <c r="F18" i="42"/>
  <c r="H21" i="42"/>
  <c r="H77" i="42"/>
  <c r="A96" i="42"/>
  <c r="A27" i="42"/>
  <c r="B49" i="42"/>
  <c r="D61" i="42"/>
  <c r="H28" i="42"/>
  <c r="C104" i="42"/>
  <c r="H83" i="42"/>
  <c r="F63" i="42"/>
  <c r="A32" i="42"/>
  <c r="B57" i="42"/>
  <c r="D48" i="42"/>
  <c r="H51" i="42"/>
  <c r="D95" i="42"/>
  <c r="H49" i="42"/>
  <c r="H35" i="42"/>
  <c r="F44" i="42"/>
  <c r="D57" i="42"/>
  <c r="H50" i="42"/>
  <c r="G23" i="42"/>
  <c r="A54" i="42"/>
  <c r="H87" i="42"/>
  <c r="A63" i="42"/>
  <c r="F60" i="42"/>
  <c r="A68" i="42"/>
  <c r="A66" i="42"/>
  <c r="H82" i="42"/>
  <c r="C94" i="42"/>
  <c r="D69" i="42"/>
  <c r="H75" i="42"/>
  <c r="C99" i="42"/>
  <c r="B32" i="42"/>
  <c r="C81" i="42"/>
  <c r="C61" i="42"/>
  <c r="C101" i="42"/>
  <c r="C24" i="42"/>
  <c r="C26" i="42"/>
  <c r="C14" i="42"/>
  <c r="H31" i="42"/>
  <c r="G99" i="42"/>
  <c r="B82" i="42"/>
  <c r="H39" i="42"/>
  <c r="B31" i="42"/>
  <c r="C82" i="42"/>
  <c r="C57" i="42"/>
  <c r="D97" i="42"/>
  <c r="D39" i="42"/>
  <c r="H90" i="42"/>
  <c r="F29" i="42"/>
  <c r="H84" i="42"/>
  <c r="B26" i="42"/>
  <c r="D55" i="42"/>
  <c r="C65" i="42"/>
  <c r="A28" i="42"/>
  <c r="D87" i="42"/>
  <c r="H104" i="42"/>
  <c r="H15" i="42"/>
  <c r="A101" i="42"/>
  <c r="D37" i="42"/>
  <c r="C66" i="42"/>
  <c r="B92" i="42"/>
  <c r="A103" i="42"/>
  <c r="G81" i="42"/>
  <c r="B104" i="42"/>
  <c r="D40" i="42"/>
  <c r="A19" i="42"/>
  <c r="C102" i="42"/>
  <c r="D47" i="42"/>
  <c r="F79" i="42"/>
  <c r="C103" i="42"/>
  <c r="G100" i="42"/>
  <c r="F57" i="42"/>
  <c r="D89" i="42"/>
  <c r="H29" i="42"/>
  <c r="F26" i="42"/>
  <c r="A97" i="42"/>
  <c r="F55" i="42"/>
  <c r="C79" i="42"/>
  <c r="H86" i="42"/>
  <c r="H99" i="42"/>
  <c r="D79" i="42"/>
  <c r="H37" i="42"/>
  <c r="A90" i="42"/>
  <c r="F58" i="42"/>
  <c r="F78" i="42"/>
  <c r="G69" i="42"/>
  <c r="H18" i="42"/>
  <c r="A92" i="42"/>
  <c r="A60" i="42"/>
  <c r="D44" i="42"/>
  <c r="D23" i="42"/>
  <c r="F102" i="42"/>
  <c r="C38" i="42"/>
  <c r="H41" i="42"/>
  <c r="A34" i="42"/>
  <c r="H66" i="42"/>
  <c r="A77" i="42"/>
  <c r="H40" i="42"/>
  <c r="C20" i="42"/>
  <c r="B48" i="42"/>
  <c r="C76" i="42"/>
  <c r="F25" i="42"/>
  <c r="A86" i="42"/>
  <c r="C53" i="42"/>
  <c r="D32" i="42"/>
  <c r="B78" i="42"/>
  <c r="H52" i="42"/>
  <c r="F91" i="42"/>
  <c r="H69" i="42"/>
  <c r="H58" i="42"/>
  <c r="B52" i="42"/>
  <c r="G60" i="42"/>
  <c r="D90" i="42"/>
  <c r="F82" i="42"/>
  <c r="H43" i="42"/>
  <c r="B103" i="42"/>
  <c r="F70" i="42"/>
  <c r="H79" i="42"/>
  <c r="H73" i="42"/>
  <c r="D94" i="42"/>
  <c r="G54" i="42"/>
  <c r="G15" i="42"/>
  <c r="B39" i="42"/>
  <c r="A35" i="42"/>
  <c r="F56" i="42"/>
  <c r="C19" i="42"/>
  <c r="C37" i="42"/>
  <c r="H17" i="42"/>
  <c r="B61" i="42"/>
  <c r="H42" i="42"/>
  <c r="H74" i="42"/>
  <c r="F94" i="42"/>
  <c r="H36" i="42"/>
  <c r="F68" i="42"/>
  <c r="D82" i="42"/>
  <c r="H55" i="42"/>
  <c r="D80" i="42"/>
  <c r="F98" i="42"/>
  <c r="H59" i="42"/>
  <c r="C58" i="42"/>
  <c r="C85" i="42"/>
  <c r="D100" i="42"/>
  <c r="D96" i="42"/>
  <c r="B94" i="42"/>
  <c r="D93" i="42"/>
  <c r="B73" i="42"/>
  <c r="F21" i="42"/>
  <c r="A33" i="42"/>
  <c r="B89" i="42"/>
  <c r="G74" i="42"/>
  <c r="A91" i="42"/>
  <c r="B72" i="42"/>
  <c r="H88" i="42"/>
  <c r="H30" i="42"/>
  <c r="H56" i="42"/>
  <c r="G87" i="42"/>
  <c r="B100" i="42"/>
  <c r="G48" i="42"/>
  <c r="F35" i="42"/>
  <c r="H62" i="42"/>
  <c r="D51" i="42"/>
  <c r="B96" i="42"/>
  <c r="H20" i="42"/>
  <c r="A80" i="42"/>
  <c r="G63" i="42"/>
  <c r="B23" i="42"/>
  <c r="A89" i="42"/>
  <c r="A46" i="42"/>
  <c r="G90" i="42"/>
  <c r="G80" i="42"/>
  <c r="B33" i="42"/>
  <c r="C39" i="42"/>
  <c r="D75" i="42"/>
  <c r="C30" i="42"/>
  <c r="A94" i="42"/>
  <c r="D46" i="42"/>
  <c r="C28" i="42"/>
  <c r="C36" i="42"/>
  <c r="A82" i="42"/>
  <c r="G20" i="42"/>
  <c r="C44" i="42"/>
  <c r="F40" i="42"/>
  <c r="G40" i="42"/>
  <c r="B53" i="42"/>
  <c r="A22" i="42"/>
  <c r="G97" i="42"/>
  <c r="F28" i="42"/>
  <c r="C84" i="42"/>
  <c r="B95" i="42"/>
  <c r="G98" i="42"/>
  <c r="G50" i="42"/>
  <c r="A31" i="42"/>
  <c r="A53" i="42"/>
  <c r="D84" i="42"/>
  <c r="G28" i="42"/>
  <c r="G32" i="42"/>
  <c r="D34" i="42"/>
  <c r="C52" i="42"/>
  <c r="D86" i="42"/>
  <c r="G76" i="42"/>
  <c r="B99" i="42"/>
  <c r="A51" i="42"/>
  <c r="B42" i="42"/>
  <c r="C88" i="42"/>
  <c r="G57" i="42"/>
  <c r="H80" i="42"/>
  <c r="A87" i="42"/>
  <c r="F84" i="42"/>
  <c r="B88" i="42"/>
  <c r="C83" i="42"/>
  <c r="H48" i="42"/>
  <c r="F38" i="42"/>
  <c r="B80" i="42"/>
  <c r="H101" i="42"/>
  <c r="G96" i="42"/>
  <c r="G70" i="42"/>
  <c r="F90" i="42"/>
  <c r="B85" i="42"/>
  <c r="A62" i="42"/>
  <c r="A75" i="42"/>
  <c r="G72" i="42"/>
  <c r="G27" i="42"/>
  <c r="E104" i="42"/>
  <c r="E31" i="42"/>
  <c r="E65" i="42"/>
  <c r="D53" i="42"/>
  <c r="B83" i="42"/>
  <c r="B59" i="42"/>
  <c r="G64" i="42"/>
  <c r="D20" i="42"/>
  <c r="F75" i="42"/>
  <c r="F48" i="42"/>
  <c r="D30" i="42"/>
  <c r="B41" i="42"/>
  <c r="C59" i="42"/>
  <c r="C98" i="42"/>
  <c r="B70" i="42"/>
  <c r="B97" i="42"/>
  <c r="G37" i="42"/>
  <c r="C47" i="42"/>
  <c r="F16" i="42"/>
  <c r="A58" i="42"/>
  <c r="G82" i="42"/>
  <c r="A37" i="42"/>
  <c r="B43" i="42"/>
  <c r="B28" i="42"/>
  <c r="C54" i="42"/>
  <c r="B45" i="42"/>
  <c r="G45" i="42"/>
  <c r="C100" i="42"/>
  <c r="F36" i="42"/>
  <c r="D83" i="42"/>
  <c r="G95" i="42"/>
  <c r="D25" i="42"/>
  <c r="C87" i="42"/>
  <c r="C41" i="42"/>
  <c r="F31" i="42"/>
  <c r="G58" i="42"/>
  <c r="C80" i="42"/>
  <c r="C63" i="42"/>
  <c r="A73" i="42"/>
  <c r="F87" i="42"/>
  <c r="F77" i="42"/>
  <c r="B38" i="42"/>
  <c r="B44" i="42"/>
  <c r="F19" i="42"/>
  <c r="A30" i="42"/>
  <c r="G53" i="42"/>
  <c r="A20" i="42"/>
  <c r="B50" i="42"/>
  <c r="G93" i="42"/>
  <c r="B18" i="42"/>
  <c r="A67" i="42"/>
  <c r="H26" i="42"/>
  <c r="F103" i="42"/>
  <c r="B54" i="42"/>
  <c r="D81" i="42"/>
  <c r="H44" i="42"/>
  <c r="F41" i="42"/>
  <c r="B60" i="42"/>
  <c r="A95" i="42"/>
  <c r="D18" i="42"/>
  <c r="G92" i="42"/>
  <c r="A57" i="42"/>
  <c r="B30" i="42"/>
  <c r="A49" i="42"/>
  <c r="C22" i="42"/>
  <c r="C67" i="42"/>
  <c r="B55" i="42"/>
  <c r="A65" i="42"/>
  <c r="H46" i="42"/>
  <c r="D63" i="42"/>
  <c r="A41" i="42"/>
  <c r="B35" i="42"/>
  <c r="G75" i="42"/>
  <c r="C49" i="42"/>
  <c r="D15" i="42"/>
  <c r="C62" i="42"/>
  <c r="A17" i="42"/>
  <c r="D92" i="42"/>
  <c r="G71" i="42"/>
  <c r="E84" i="42"/>
  <c r="D67" i="42"/>
  <c r="G24" i="42"/>
  <c r="G61" i="42"/>
  <c r="A64" i="42"/>
  <c r="G91" i="42"/>
  <c r="G56" i="42"/>
  <c r="A44" i="42"/>
  <c r="H92" i="42"/>
  <c r="F53" i="42"/>
  <c r="C70" i="42"/>
  <c r="H96" i="42"/>
  <c r="H32" i="42"/>
  <c r="D31" i="42"/>
  <c r="F49" i="42"/>
  <c r="C51" i="42"/>
  <c r="B69" i="42"/>
  <c r="A21" i="42"/>
  <c r="C78" i="42"/>
  <c r="D52" i="42"/>
  <c r="B19" i="42"/>
  <c r="H64" i="42"/>
  <c r="D41" i="42"/>
  <c r="B67" i="42"/>
  <c r="C96" i="42"/>
  <c r="G88" i="42"/>
  <c r="C92" i="42"/>
  <c r="A43" i="42"/>
  <c r="B25" i="42"/>
  <c r="G55" i="42"/>
  <c r="G19" i="42"/>
  <c r="B36" i="42"/>
  <c r="D27" i="42"/>
  <c r="C91" i="42"/>
  <c r="A45" i="42"/>
  <c r="A81" i="42"/>
  <c r="F23" i="42"/>
  <c r="G89" i="42"/>
  <c r="H93" i="42"/>
  <c r="F88" i="42"/>
  <c r="B20" i="42"/>
  <c r="B62" i="42"/>
  <c r="H94" i="42"/>
  <c r="D91" i="42"/>
  <c r="C21" i="42"/>
  <c r="C95" i="42"/>
  <c r="F24" i="42"/>
  <c r="B77" i="42"/>
  <c r="A88" i="42"/>
  <c r="A59" i="42"/>
  <c r="B27" i="42"/>
  <c r="F32" i="42"/>
  <c r="B22" i="42"/>
  <c r="G35" i="42"/>
  <c r="F33" i="42"/>
  <c r="F15" i="42"/>
  <c r="D99" i="42"/>
  <c r="C33" i="42"/>
  <c r="F72" i="42"/>
  <c r="A83" i="42"/>
  <c r="A61" i="42"/>
  <c r="B86" i="42"/>
  <c r="G16" i="42"/>
  <c r="B66" i="42"/>
  <c r="A26" i="42"/>
  <c r="G25" i="42"/>
  <c r="G66" i="42"/>
  <c r="A23" i="42"/>
  <c r="C64" i="42"/>
  <c r="F67" i="42"/>
  <c r="G51" i="42"/>
  <c r="F66" i="42"/>
  <c r="G34" i="42"/>
  <c r="F27" i="42"/>
  <c r="A56" i="42"/>
  <c r="A18" i="42"/>
  <c r="C50" i="42"/>
  <c r="B29" i="42"/>
  <c r="G65" i="42"/>
  <c r="A98" i="42"/>
  <c r="C34" i="42"/>
  <c r="A50" i="42"/>
  <c r="D54" i="42"/>
  <c r="F14" i="42"/>
  <c r="C74" i="42"/>
  <c r="D35" i="42"/>
  <c r="F46" i="42"/>
  <c r="F51" i="42"/>
  <c r="H38" i="42"/>
  <c r="G17" i="42"/>
  <c r="D43" i="42"/>
  <c r="F52" i="42"/>
  <c r="A29" i="42"/>
  <c r="D70" i="42"/>
  <c r="G22" i="42"/>
  <c r="B17" i="42"/>
  <c r="B87" i="42"/>
  <c r="F43" i="42"/>
  <c r="A99" i="42"/>
  <c r="C42" i="42"/>
  <c r="G85" i="42"/>
  <c r="A78" i="42"/>
  <c r="H76" i="42"/>
  <c r="C77" i="42"/>
  <c r="A38" i="42"/>
  <c r="A79" i="42"/>
  <c r="F69" i="42"/>
  <c r="C27" i="42"/>
  <c r="B46" i="42"/>
  <c r="D60" i="42"/>
  <c r="H24" i="42"/>
  <c r="G86" i="42"/>
  <c r="D28" i="42"/>
  <c r="H71" i="42"/>
  <c r="G38" i="42"/>
  <c r="D62" i="42"/>
  <c r="A36" i="42"/>
  <c r="G43" i="42"/>
  <c r="B51" i="42"/>
  <c r="B84" i="42"/>
  <c r="F65" i="42"/>
  <c r="C75" i="42"/>
  <c r="B63" i="42"/>
  <c r="F30" i="42"/>
  <c r="F22" i="42"/>
  <c r="C15" i="42"/>
  <c r="C86" i="42"/>
  <c r="G46" i="42"/>
  <c r="G30" i="42"/>
  <c r="D49" i="42"/>
  <c r="D19" i="42"/>
  <c r="F85" i="42"/>
  <c r="A70" i="42"/>
  <c r="B65" i="42"/>
  <c r="C25" i="42"/>
  <c r="F45" i="42"/>
  <c r="B34" i="42"/>
  <c r="B64" i="42"/>
  <c r="A48" i="42"/>
  <c r="D73" i="42"/>
  <c r="G29" i="42"/>
  <c r="A74" i="42"/>
  <c r="H72" i="42"/>
  <c r="D38" i="42"/>
  <c r="C69" i="42"/>
  <c r="D17" i="42"/>
  <c r="F61" i="42"/>
  <c r="G33" i="42"/>
  <c r="H60" i="42"/>
  <c r="B56" i="42"/>
  <c r="E97" i="42"/>
  <c r="E101" i="42"/>
  <c r="E18" i="42"/>
  <c r="E74" i="42"/>
  <c r="E67" i="42"/>
  <c r="E48" i="42"/>
  <c r="E37" i="42"/>
  <c r="E72" i="42"/>
  <c r="E77" i="42"/>
  <c r="E40" i="42"/>
  <c r="E23" i="42"/>
  <c r="D14" i="42"/>
  <c r="E71" i="42"/>
  <c r="E44" i="42"/>
  <c r="E29" i="42"/>
  <c r="E88" i="42"/>
  <c r="E83" i="42"/>
  <c r="E59" i="42"/>
  <c r="E62" i="42"/>
  <c r="E47" i="42"/>
  <c r="E51" i="42"/>
  <c r="E61" i="42"/>
  <c r="E14" i="42"/>
  <c r="E53" i="42"/>
  <c r="E86" i="42"/>
  <c r="E79" i="42"/>
  <c r="E102" i="42"/>
  <c r="E73" i="42"/>
  <c r="G83" i="42"/>
  <c r="E99" i="42"/>
  <c r="E17" i="42"/>
  <c r="E96" i="42"/>
  <c r="E100" i="42"/>
  <c r="E90" i="42"/>
  <c r="H14" i="42"/>
  <c r="E95" i="42"/>
  <c r="E46" i="42"/>
  <c r="E28" i="42"/>
  <c r="E81" i="42"/>
  <c r="E16" i="42"/>
  <c r="E91" i="42"/>
  <c r="E87" i="42"/>
  <c r="E68" i="42"/>
  <c r="E52" i="42"/>
  <c r="E22" i="42"/>
  <c r="E34" i="42"/>
  <c r="E26" i="42"/>
  <c r="E56" i="42"/>
  <c r="E43" i="42"/>
  <c r="E41" i="42"/>
  <c r="B75" i="42"/>
  <c r="E24" i="42"/>
  <c r="E63" i="42"/>
  <c r="E19" i="42"/>
  <c r="G14" i="42"/>
  <c r="E103" i="42"/>
  <c r="E55" i="42"/>
  <c r="E45" i="42"/>
  <c r="E20" i="42"/>
  <c r="E32" i="42"/>
  <c r="E35" i="42"/>
  <c r="A14" i="42"/>
  <c r="A200" i="42" s="1"/>
  <c r="E57" i="42"/>
  <c r="E30" i="42"/>
  <c r="E82" i="42"/>
  <c r="E69" i="42"/>
  <c r="E85" i="42"/>
  <c r="E76" i="42"/>
  <c r="E60" i="42"/>
  <c r="E54" i="42"/>
  <c r="C17" i="42"/>
  <c r="E42" i="42"/>
  <c r="E75" i="42"/>
  <c r="E89" i="42"/>
  <c r="E64" i="42"/>
  <c r="E80" i="42"/>
  <c r="E15" i="42"/>
  <c r="E66" i="42"/>
  <c r="E93" i="42"/>
  <c r="E94" i="42"/>
  <c r="E33" i="42"/>
  <c r="E21" i="42"/>
  <c r="E92" i="42"/>
  <c r="E27" i="42"/>
  <c r="E25" i="42"/>
  <c r="E58" i="42"/>
  <c r="E70" i="42"/>
  <c r="E78" i="42"/>
  <c r="E49" i="42"/>
  <c r="E39" i="42"/>
  <c r="E98" i="42"/>
  <c r="E36" i="42"/>
  <c r="E50" i="42"/>
  <c r="E38" i="42"/>
  <c r="C12" i="39"/>
  <c r="M8" i="39"/>
  <c r="C15" i="39"/>
  <c r="C10" i="39"/>
  <c r="D13" i="39"/>
  <c r="H5" i="39"/>
  <c r="M16" i="39" s="1"/>
  <c r="I14" i="42" l="1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I168" i="42" s="1"/>
  <c r="I169" i="42" s="1"/>
  <c r="I170" i="42" s="1"/>
  <c r="I171" i="42" s="1"/>
  <c r="I172" i="42" s="1"/>
  <c r="I173" i="42" s="1"/>
  <c r="I174" i="42" s="1"/>
  <c r="I175" i="42" s="1"/>
  <c r="I176" i="42" s="1"/>
  <c r="I177" i="42" s="1"/>
  <c r="I178" i="42" s="1"/>
  <c r="I179" i="42" s="1"/>
  <c r="I180" i="42" s="1"/>
  <c r="I181" i="42" s="1"/>
  <c r="I182" i="42" s="1"/>
  <c r="I183" i="42" s="1"/>
  <c r="I184" i="42" s="1"/>
  <c r="I185" i="42" s="1"/>
  <c r="I186" i="42" s="1"/>
  <c r="I187" i="42" s="1"/>
  <c r="I188" i="42" s="1"/>
  <c r="I189" i="42" s="1"/>
  <c r="I190" i="42" s="1"/>
  <c r="E211" i="42"/>
  <c r="G196" i="42"/>
  <c r="H196" i="42"/>
  <c r="I197" i="42" l="1"/>
</calcChain>
</file>

<file path=xl/sharedStrings.xml><?xml version="1.0" encoding="utf-8"?>
<sst xmlns="http://schemas.openxmlformats.org/spreadsheetml/2006/main" count="9756" uniqueCount="1688">
  <si>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</si>
  <si>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</si>
  <si>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</si>
  <si>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</si>
  <si>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</si>
  <si>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</si>
  <si>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</si>
  <si>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</si>
  <si>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</si>
  <si>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</si>
  <si>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</si>
  <si>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</si>
  <si>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</si>
  <si>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</si>
  <si>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</si>
  <si>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</si>
  <si>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</si>
  <si>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</si>
  <si>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</si>
  <si>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</si>
  <si>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Loại tiền: VNĐ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</si>
  <si>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</si>
  <si>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</si>
  <si>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</si>
  <si>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</si>
  <si>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</si>
  <si>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</si>
  <si>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</si>
  <si>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</si>
  <si>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</si>
  <si>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</si>
  <si>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</si>
  <si>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</si>
  <si>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</si>
  <si>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</si>
  <si>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1388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</si>
  <si>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</si>
  <si>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</si>
  <si>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</si>
  <si>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</si>
  <si>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</si>
  <si>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</si>
  <si>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</si>
  <si>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</si>
  <si>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</si>
  <si>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</si>
  <si>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</si>
  <si>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</si>
  <si>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</si>
  <si>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</si>
  <si>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</si>
  <si>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</si>
  <si>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</si>
  <si>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</si>
  <si>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</si>
  <si>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</si>
  <si>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</si>
  <si>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</si>
  <si>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</si>
  <si>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</si>
  <si>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</si>
  <si>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</si>
  <si>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</si>
  <si>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</si>
  <si>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</si>
  <si>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</si>
  <si>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</si>
  <si>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</si>
  <si>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</si>
  <si>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</si>
  <si>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</si>
  <si>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</si>
  <si>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</si>
  <si>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</si>
  <si>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</si>
  <si>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</si>
  <si>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</si>
  <si>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</si>
  <si>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</si>
  <si>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Ngày 31 tháng  12  năm  2015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</si>
  <si>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</si>
  <si>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</si>
  <si>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</si>
  <si>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</si>
  <si>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</si>
  <si>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</si>
  <si>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</si>
  <si>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</si>
  <si>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</si>
  <si>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Võ Uyên Phương</t>
  </si>
  <si>
    <t>- Sổ này có  01 trang, đánh số từ trang 01 đến trang 01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</si>
  <si>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</si>
  <si>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</si>
  <si>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</si>
  <si>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</si>
  <si>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</si>
  <si>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</si>
  <si>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</si>
  <si>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Địa chỉ: Lô A14, Đường 4A, KCN Hải Sơn, H. Đức Hoà, T. Long An</t>
  </si>
  <si>
    <t>Tháng</t>
  </si>
  <si>
    <t>Số lượng</t>
  </si>
  <si>
    <t>Đơn giá</t>
  </si>
  <si>
    <t>Nhập xuất kho</t>
  </si>
  <si>
    <t>Đầu kỳ:</t>
  </si>
  <si>
    <t>NH</t>
  </si>
  <si>
    <t>Mượn</t>
  </si>
  <si>
    <t>phế liệu</t>
  </si>
  <si>
    <t>Cđoàn</t>
  </si>
  <si>
    <t>tiền hàng</t>
  </si>
  <si>
    <t>hụi</t>
  </si>
  <si>
    <t>T/ứng</t>
  </si>
  <si>
    <t>khác</t>
  </si>
  <si>
    <t>cô</t>
  </si>
  <si>
    <t>Hụi</t>
  </si>
  <si>
    <t>Nh</t>
  </si>
  <si>
    <t>Phế liệu</t>
  </si>
  <si>
    <t>T/Hàng</t>
  </si>
  <si>
    <t>T/Ứng</t>
  </si>
  <si>
    <t>Q11 - Rút tiền mặt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</si>
  <si>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</si>
  <si>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</si>
  <si>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</si>
  <si>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</si>
  <si>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</si>
  <si>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Thu tiền  - Tân Gia Nguyên</t>
  </si>
  <si>
    <t>Thu tiền - Vay bạn Ngân</t>
  </si>
  <si>
    <t>Thu tiền cho mượn - Bé Mén</t>
  </si>
  <si>
    <t>Thu tiền phế liệu - Chú 4 Nghĩa</t>
  </si>
  <si>
    <t>Thu tiền mượn - CĐ</t>
  </si>
  <si>
    <t>Thu tiền NH - Q11</t>
  </si>
  <si>
    <t>Thu tiền mượn - Chú Duyệt</t>
  </si>
  <si>
    <t>Thu tiền NH - Q4</t>
  </si>
  <si>
    <t>Rút tiền NH Q4</t>
  </si>
  <si>
    <t>Thu tiền NH -Q11</t>
  </si>
  <si>
    <t>Thu tiền mượn - Cô Phương (chú duy)</t>
  </si>
  <si>
    <t>Thu tiền mượn - Cô Liêng Nghĩa</t>
  </si>
  <si>
    <t>thu tiền hàng ăn liền</t>
  </si>
  <si>
    <t>Thu tiền hụi - Chị Cẩm</t>
  </si>
  <si>
    <t>thu tạm ứng PC44 ngày 15/2</t>
  </si>
  <si>
    <t>Thu tạm ứng PC 47,72,90 (T1/16)</t>
  </si>
  <si>
    <t>Thu tiền  - NH Q11</t>
  </si>
  <si>
    <t>Thu tiền mượn - Cô Thuỳ (chú duy)</t>
  </si>
  <si>
    <t>thu tiền PC66 ngày 24/2 (A.Cường)</t>
  </si>
  <si>
    <t>thu tạm ứng PC 63 ngày 24/2 (Hiền)</t>
  </si>
  <si>
    <t>Thu tiền phế liệu - Cô Yến</t>
  </si>
  <si>
    <t>thu tiền hụi - Sái Tý</t>
  </si>
  <si>
    <t>Thu tiền mượn - Khanh (A Hai)</t>
  </si>
  <si>
    <t>Thu tạm ứng PC 61 + 65 ngày 23 + 24/2</t>
  </si>
  <si>
    <t>Thu tạm ứng PC 38 ngày 5/12 - các cont</t>
  </si>
  <si>
    <t>Thu tiền mượn - bạn Cô</t>
  </si>
  <si>
    <t>thu tiền mượn - Quốc</t>
  </si>
  <si>
    <t>thu tiền mượn - Cô 8</t>
  </si>
  <si>
    <t>tiền thuê cont rong biển</t>
  </si>
  <si>
    <t>Thu tiền phế liệu  - Cô Yến</t>
  </si>
  <si>
    <t>Thu tạm ứng PC 37 ngày 12/3</t>
  </si>
  <si>
    <t>thu tiền NH Q11</t>
  </si>
  <si>
    <t>Thu tiền khô - bán CN</t>
  </si>
  <si>
    <t>thu tiền hốt hụi - sái tý</t>
  </si>
  <si>
    <t>Thu tiền bán cá khô - CN</t>
  </si>
  <si>
    <t>Thu tiền phế liệu</t>
  </si>
  <si>
    <t>thu tiền hàng - Lâm TQ</t>
  </si>
  <si>
    <t>thu tạm ứng PC 10 ngày 2/4 - Hiền</t>
  </si>
  <si>
    <t>Thu tiền  - A.Bình</t>
  </si>
  <si>
    <t>Rút tiền NH Q11</t>
  </si>
  <si>
    <t>Tiền bán khô  - CN</t>
  </si>
  <si>
    <t>Thu tiền cô 8</t>
  </si>
  <si>
    <t>Thu tiền mượn - Bé Mén 21/4</t>
  </si>
  <si>
    <t>thu tạm ứng PC 83 ngày 21/4</t>
  </si>
  <si>
    <t>Thu tiền hàng - A Lầm TQ (cá đù)</t>
  </si>
  <si>
    <t>Thu tiền hụi - Sái Tý</t>
  </si>
  <si>
    <t>Thu tiền mượn - Huy (Bạn Ngân)</t>
  </si>
  <si>
    <t>thu tiền PC 12 ngày 5/5</t>
  </si>
  <si>
    <t xml:space="preserve">Thu tạm ứng PC 06 Ngày 3/5 </t>
  </si>
  <si>
    <t>thu tạm ứng PC 26 ngày 9/5</t>
  </si>
  <si>
    <t>Thu tiền cá mai tẩm - H. Phương</t>
  </si>
  <si>
    <t>Thu tiền - A Lâm TQ</t>
  </si>
  <si>
    <t>C. Cẩm - Tiền Hụi</t>
  </si>
  <si>
    <t>Q11 - Rút TM</t>
  </si>
  <si>
    <t>C. Duyệt - mượn</t>
  </si>
  <si>
    <t>C. Thùy - mượn</t>
  </si>
  <si>
    <t>Dì Út - Mượn</t>
  </si>
  <si>
    <t>C. 8 - mượn</t>
  </si>
  <si>
    <t>Quốc VT - tiền mượn</t>
  </si>
  <si>
    <t>Thu T/ứng PC: 93 ngày 24/5</t>
  </si>
  <si>
    <t>C. Yến - Tiền phế liệu</t>
  </si>
  <si>
    <t>A. Hùng - Tiền phế liệu</t>
  </si>
  <si>
    <t>Q4 - Rút TM</t>
  </si>
  <si>
    <t>A. Bình - mượn</t>
  </si>
  <si>
    <t>Laâm TQ - Thu tiền hàng</t>
  </si>
  <si>
    <t>Thu tiền cá khô CN</t>
  </si>
  <si>
    <t>Thu T/ứng PC: 90 ngày 23/5</t>
  </si>
  <si>
    <t>Thu T/ứng PC: 01 ngày 1/4/16</t>
  </si>
  <si>
    <t>Thu T/ứng PC: 78 ngày 20/6</t>
  </si>
  <si>
    <t>Thu tiền NH Q4 - TV</t>
  </si>
  <si>
    <t>Thu tiền NH - Q4 TV</t>
  </si>
  <si>
    <t>Thu tiền NH - PV Bank</t>
  </si>
  <si>
    <t>Thu tạm ứng PC 111 ngày 24/6</t>
  </si>
  <si>
    <t>Thu tạm ứng PC 123 ngày 28/6 - Chú 10</t>
  </si>
  <si>
    <t>Thu tạm ứng chi phí giao nhận PC 71 ngày 17/6</t>
  </si>
  <si>
    <t>Thu tạm ứng PC 84 ngày 22/6 (Cont Bột)</t>
  </si>
  <si>
    <t>Thu tiền phế liệu - Hiền</t>
  </si>
  <si>
    <t>CPBH</t>
  </si>
  <si>
    <t>Xưởng</t>
  </si>
  <si>
    <t>Lãi vay</t>
  </si>
  <si>
    <t>Trà Vinh</t>
  </si>
  <si>
    <t>Khác</t>
  </si>
  <si>
    <t>Cá</t>
  </si>
  <si>
    <t>CP Nhà</t>
  </si>
  <si>
    <t>CP - xe</t>
  </si>
  <si>
    <t>Đ/Thoại</t>
  </si>
  <si>
    <t>bảo vệ</t>
  </si>
  <si>
    <t>HACCP</t>
  </si>
  <si>
    <t>Lương</t>
  </si>
  <si>
    <t>VL</t>
  </si>
  <si>
    <t>B/dưỡng</t>
  </si>
  <si>
    <t>chú Duy</t>
  </si>
  <si>
    <t>Nafi</t>
  </si>
  <si>
    <t>C.Thu</t>
  </si>
  <si>
    <t>Nước</t>
  </si>
  <si>
    <t>xe</t>
  </si>
  <si>
    <t>H/Hồng</t>
  </si>
  <si>
    <t>vl</t>
  </si>
  <si>
    <t>NT</t>
  </si>
  <si>
    <t>thuế</t>
  </si>
  <si>
    <t>nước</t>
  </si>
  <si>
    <t>gas</t>
  </si>
  <si>
    <t>lương</t>
  </si>
  <si>
    <t>Xăng dầu</t>
  </si>
  <si>
    <t>CP Xe</t>
  </si>
  <si>
    <t>CP xe</t>
  </si>
  <si>
    <t>nhà</t>
  </si>
  <si>
    <t>VAT</t>
  </si>
  <si>
    <t>vật liệu</t>
  </si>
  <si>
    <t>xưởng</t>
  </si>
  <si>
    <t>g/t</t>
  </si>
  <si>
    <t>Ngân - Tiền mượn</t>
  </si>
  <si>
    <t>Hải Thủy - Tiền mượn</t>
  </si>
  <si>
    <t>Chi tiền chi hộ hải quan</t>
  </si>
  <si>
    <t>Linh - Tiền hụi</t>
  </si>
  <si>
    <t>Sái Tý - Tiền hụi</t>
  </si>
  <si>
    <t>Cao Lệ Tuyền - Tiền cơm</t>
  </si>
  <si>
    <t xml:space="preserve"> Bàn Inox</t>
  </si>
  <si>
    <t>Tăng ca sấy ghẹ</t>
  </si>
  <si>
    <t>Dũng Điểm - Trả tiền cá</t>
  </si>
  <si>
    <t>Hương ST - Trả tiền cá</t>
  </si>
  <si>
    <t>Thủy CL - Trả tiền cá</t>
  </si>
  <si>
    <t>Chi phí C.Thu</t>
  </si>
  <si>
    <t>Tiền chợ</t>
  </si>
  <si>
    <t>Mua cân đồng hồ</t>
  </si>
  <si>
    <t>Tiền nước suối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</si>
  <si>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</si>
  <si>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</si>
  <si>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</si>
  <si>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</si>
  <si>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</si>
  <si>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</si>
  <si>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</si>
  <si>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</si>
  <si>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Mua VPP</t>
  </si>
  <si>
    <t>SG - Tiền xăng dầu</t>
  </si>
  <si>
    <t>C.Duy - Tiền đt</t>
  </si>
  <si>
    <t>Danh BL - Trà tiền cá</t>
  </si>
  <si>
    <t>Q11 - Nộp tiền mặt</t>
  </si>
  <si>
    <t>Tiền làm răng C.Thu</t>
  </si>
  <si>
    <t>Chi Phí bảo vệ</t>
  </si>
  <si>
    <t>51F 08056 - Bảo dưỡng xe</t>
  </si>
  <si>
    <t>Mua vật tư vệ sinh xưởng</t>
  </si>
  <si>
    <t>Mua CPU máy tính</t>
  </si>
  <si>
    <t>Chi Phí giao nhận C.Duyệt</t>
  </si>
  <si>
    <t>LA - Tiền xăng dầu</t>
  </si>
  <si>
    <t>Tiền nước nhà</t>
  </si>
  <si>
    <t>Chi phí C.Duy</t>
  </si>
  <si>
    <t>Mua gia vị tẩm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</si>
  <si>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</si>
  <si>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</si>
  <si>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</si>
  <si>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</si>
  <si>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</si>
  <si>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Quấn motour tủ sấy</t>
  </si>
  <si>
    <t>Mua đồ cúng</t>
  </si>
  <si>
    <t>Mua màu thực phẩm</t>
  </si>
  <si>
    <t>Mua thức ăn chim, cá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</si>
  <si>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</si>
  <si>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</si>
  <si>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</si>
  <si>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</si>
  <si>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</si>
  <si>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Tiền điện thoại + Iternet (T12/15)</t>
  </si>
  <si>
    <t>Chi phí</t>
  </si>
  <si>
    <t>Chi mua tranh cá</t>
  </si>
  <si>
    <t>Chi phí kiểm hàng - Tokai</t>
  </si>
  <si>
    <t>Tăng ca sấy ghẹ + mua nồi</t>
  </si>
  <si>
    <t>chi tiền sửa xe - 51F - 080.56</t>
  </si>
  <si>
    <t>Thuốc xịt ruồi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</si>
  <si>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</si>
  <si>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</si>
  <si>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</si>
  <si>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</si>
  <si>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</si>
  <si>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Trắng VL - Trả tiền cá</t>
  </si>
  <si>
    <t>Chi tiền mừng cưới - Luân</t>
  </si>
  <si>
    <t>Chi lương T12/15 - Long An (TN - TP )</t>
  </si>
  <si>
    <t>Tạm ứng tiền thuê giàn giáo</t>
  </si>
  <si>
    <t>Chi tiền nước - Hải Sơn</t>
  </si>
  <si>
    <t>Chi tiền cơm - TV</t>
  </si>
  <si>
    <t>Chi lương T12/15 - Long An (VP)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</si>
  <si>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</si>
  <si>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</si>
  <si>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</si>
  <si>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</si>
  <si>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</si>
  <si>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Tiền xe  chở hàng - Chú Thảo</t>
  </si>
  <si>
    <t>chi tiền - chị Thu</t>
  </si>
  <si>
    <t>tiền xe taxi + tca chủ nhật</t>
  </si>
  <si>
    <t>chi tiền đoàn kiểm tra liên ngành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</si>
  <si>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</si>
  <si>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</si>
  <si>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</si>
  <si>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</si>
  <si>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</si>
  <si>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</si>
  <si>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</si>
  <si>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</si>
  <si>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</si>
  <si>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</si>
  <si>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Chi phí TV - Cô</t>
  </si>
  <si>
    <t>Nộp TK Q4 - TV</t>
  </si>
  <si>
    <t>Nộp TK Q4 - LA</t>
  </si>
  <si>
    <t>Mua máy nén kho lạnh - TV</t>
  </si>
  <si>
    <t>Phí đi chiếu xạ - vá vỏ</t>
  </si>
  <si>
    <t>bồi dưỡng tài xế xe cont (2cont)</t>
  </si>
  <si>
    <t>Phán VT - Trả tiền cá</t>
  </si>
  <si>
    <t>Lam Lee - Trả tiền cá</t>
  </si>
  <si>
    <t>Cúc BĐ - Trả tiền cá</t>
  </si>
  <si>
    <t>Hoa hồng - O. Choen</t>
  </si>
  <si>
    <t>Chi tiền  - TV (Cô)</t>
  </si>
  <si>
    <t>Thanh toán tiền xăng dầu SG -  15/1/16</t>
  </si>
  <si>
    <t>Tiền bưu chính Viettel T11,T12/15</t>
  </si>
  <si>
    <t>chi tiền VLXD Vạn Lộc</t>
  </si>
  <si>
    <t>Tiền xe chở hàng</t>
  </si>
  <si>
    <t>Mua băng keo vải</t>
  </si>
  <si>
    <t>Nộp tiền TK Q11 - Trả lãi</t>
  </si>
  <si>
    <t>Đóng tiền điện - nhà T11/16</t>
  </si>
  <si>
    <t>Mua dđồ cúng 15/12 + 16/12 Al</t>
  </si>
  <si>
    <t>Trả tiền chợ - nhà</t>
  </si>
  <si>
    <t>Đóng hụi chị Cẩm 15/12al</t>
  </si>
  <si>
    <t>Trả tiền mượn - Chú Duyệt</t>
  </si>
  <si>
    <t>Dũng KG - Trả tiền cá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</si>
  <si>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</si>
  <si>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</si>
  <si>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</si>
  <si>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</si>
  <si>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</si>
  <si>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</si>
  <si>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</si>
  <si>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</si>
  <si>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</si>
  <si>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</si>
  <si>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</si>
  <si>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</si>
  <si>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</si>
  <si>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</si>
  <si>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Nộp TK - Trà Vinh</t>
  </si>
  <si>
    <t>Nộp TK Cô + c thu</t>
  </si>
  <si>
    <t>Mua 200USD (đổi tiền 2usd)</t>
  </si>
  <si>
    <t>đóng tiền nước T1/16</t>
  </si>
  <si>
    <t>Quang Tiên - Trả tiền cá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</si>
  <si>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</si>
  <si>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</si>
  <si>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</si>
  <si>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</si>
  <si>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</si>
  <si>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</si>
  <si>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Chi tiền chợ + salon</t>
  </si>
  <si>
    <t>tiền bơm mực máy in - xưởng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</si>
  <si>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</si>
  <si>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</si>
  <si>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</si>
  <si>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</si>
  <si>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</si>
  <si>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</si>
  <si>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</si>
  <si>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Trung VT - Trả tiền cá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</si>
  <si>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</si>
  <si>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</si>
  <si>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</si>
  <si>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</si>
  <si>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</si>
  <si>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</si>
  <si>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</si>
  <si>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</si>
  <si>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</si>
  <si>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bia + nc ngọt (tất niên)</t>
  </si>
  <si>
    <t>mua biểu đồ kho lạnh - A.Hiền</t>
  </si>
  <si>
    <t>chi tiền chợ</t>
  </si>
  <si>
    <t>tiền dđiện thoại T1/16 - xưởng</t>
  </si>
  <si>
    <t>chi tiền TK + Lì xì</t>
  </si>
  <si>
    <t>chi tiền lì xì + khai trương</t>
  </si>
  <si>
    <t>chi tiền gạo + bồi dưỡng cont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</si>
  <si>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</si>
  <si>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</si>
  <si>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</si>
  <si>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</si>
  <si>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</si>
  <si>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</si>
  <si>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</si>
  <si>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</si>
  <si>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Mua 10.000 usd</t>
  </si>
  <si>
    <t>tạm ứng tiền tàu cont rong biển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</si>
  <si>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</si>
  <si>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</si>
  <si>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</si>
  <si>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</si>
  <si>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</si>
  <si>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</si>
  <si>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</si>
  <si>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</si>
  <si>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</si>
  <si>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mua nhựa cắt vòng - TV</t>
  </si>
  <si>
    <t>Sửa quạt kho 5, hồ nước thải</t>
  </si>
  <si>
    <t>đóng tiền điện thoại - T1/16 - CÔ</t>
  </si>
  <si>
    <t>tca sấy ghẹ + chiếu xạ</t>
  </si>
  <si>
    <t>mua gas kho lạnh số 3</t>
  </si>
  <si>
    <t>sửa máy xịt ruồi + xăng</t>
  </si>
  <si>
    <t>tiền dđiện T1/16 - Nhà</t>
  </si>
  <si>
    <t>phí kiểm định xe + phí giao thông 2 xe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</si>
  <si>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</si>
  <si>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</si>
  <si>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</si>
  <si>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</si>
  <si>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</si>
  <si>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</si>
  <si>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</si>
  <si>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</si>
  <si>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</si>
  <si>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</si>
  <si>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</si>
  <si>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</si>
  <si>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</si>
  <si>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</si>
  <si>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</si>
  <si>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</si>
  <si>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</si>
  <si>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</si>
  <si>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</si>
  <si>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đóng tiền điện kỳ 2 T2/16 - LA</t>
  </si>
  <si>
    <t>Chi hoa hồng cont Bizmax</t>
  </si>
  <si>
    <t>chi tiền xăng dầu 1/2 - 29/2 - LA</t>
  </si>
  <si>
    <t>Tiền xe chở hàng - Tân O.Choen</t>
  </si>
  <si>
    <t>chi tiền cô 8  -TV</t>
  </si>
  <si>
    <t>Nộp TK Q11 - Trả lãi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</si>
  <si>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</si>
  <si>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</si>
  <si>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</si>
  <si>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</si>
  <si>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</si>
  <si>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</si>
  <si>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</si>
  <si>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mua phâần mềm hải quan</t>
  </si>
  <si>
    <t>chi phòng thuế + TK (LA)</t>
  </si>
  <si>
    <t>Mua đồ cúng 2/2Al</t>
  </si>
  <si>
    <t>Mua bóng đèn - nhà cô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</si>
  <si>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</si>
  <si>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</si>
  <si>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</si>
  <si>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</si>
  <si>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thay bình + nhớt xe 51A - 141.74</t>
  </si>
  <si>
    <t>Chi thẩm định giá (CT: 052/16HĐTĐ)</t>
  </si>
  <si>
    <t>Chi phí TK</t>
  </si>
  <si>
    <t>Nộp TK thẻ - Cô + chú Duy + c Thu</t>
  </si>
  <si>
    <t>Mua phí gthông 2 xe</t>
  </si>
  <si>
    <t>Chi mua đường - TV</t>
  </si>
  <si>
    <t>Mua dollard (Cho QA)</t>
  </si>
  <si>
    <t>Chi phí xưởng</t>
  </si>
  <si>
    <t>chi tiền nước TK từ 18/1 - 14/3</t>
  </si>
  <si>
    <t>Phí đi công tác + b/dưỡng tài xế</t>
  </si>
  <si>
    <t>Chi tiền TV - Cô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</si>
  <si>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</si>
  <si>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</si>
  <si>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</si>
  <si>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</si>
  <si>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</si>
  <si>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</si>
  <si>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</si>
  <si>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thanh toán tiền băng keo - Thịnh Phước</t>
  </si>
  <si>
    <t>Chi sửa xe 51F - 080.56</t>
  </si>
  <si>
    <t>Nga BT - Trả tiền cá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</si>
  <si>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</si>
  <si>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</si>
  <si>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</si>
  <si>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</si>
  <si>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</si>
  <si>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</si>
  <si>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</si>
  <si>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Mua bao OPP + bao PP đóng ghẹ</t>
  </si>
  <si>
    <t>mua mực da làm mẫu</t>
  </si>
  <si>
    <t>Đóng hụi - chị Cẩm 15/2al</t>
  </si>
  <si>
    <t>Mua đồ cúng 15/2 + 16/2 Al</t>
  </si>
  <si>
    <t>Tiền điện thoại + Internet nhà</t>
  </si>
  <si>
    <t>chi hoa hồng - Trung Tokai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</si>
  <si>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</si>
  <si>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</si>
  <si>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</si>
  <si>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</si>
  <si>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</si>
  <si>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</si>
  <si>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</si>
  <si>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</si>
  <si>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</si>
  <si>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</si>
  <si>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</si>
  <si>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</si>
  <si>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</si>
  <si>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</si>
  <si>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</si>
  <si>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</si>
  <si>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</si>
  <si>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</si>
  <si>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</si>
  <si>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</si>
  <si>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</si>
  <si>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</si>
  <si>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</si>
  <si>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</si>
  <si>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</si>
  <si>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</si>
  <si>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</si>
  <si>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</si>
  <si>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</si>
  <si>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</si>
  <si>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</si>
  <si>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</si>
  <si>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</si>
  <si>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</si>
  <si>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</si>
  <si>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</si>
  <si>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</si>
  <si>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</si>
  <si>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</si>
  <si>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</si>
  <si>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</si>
  <si>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</si>
  <si>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</si>
  <si>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</si>
  <si>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</si>
  <si>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chi tiền gas kho lạnh  + sửa kho</t>
  </si>
  <si>
    <t>mua thuốc khử mùi - TV</t>
  </si>
  <si>
    <t>Tiền nước suối 21/2 - 9/4</t>
  </si>
  <si>
    <t>tiền xe chở hàng - Chú Thảo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</si>
  <si>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</si>
  <si>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</si>
  <si>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</si>
  <si>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</si>
  <si>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</si>
  <si>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</si>
  <si>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</si>
  <si>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</si>
  <si>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</si>
  <si>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</si>
  <si>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</si>
  <si>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</si>
  <si>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</si>
  <si>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</si>
  <si>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</si>
  <si>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</si>
  <si>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</si>
  <si>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</si>
  <si>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</si>
  <si>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</si>
  <si>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7 Lâm - Trả tiền cá</t>
  </si>
  <si>
    <t>chi lương TV (Thuỵ) 15/4</t>
  </si>
  <si>
    <t>Trả tiền mè đường</t>
  </si>
  <si>
    <t>9 Hoàng - Trả tiền cá</t>
  </si>
  <si>
    <t>Cơ HT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</si>
  <si>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</si>
  <si>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</si>
  <si>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</si>
  <si>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</si>
  <si>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</si>
  <si>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</si>
  <si>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</si>
  <si>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</si>
  <si>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</si>
  <si>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</si>
  <si>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</si>
  <si>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</si>
  <si>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</si>
  <si>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Sửa tủ sấy, dây coro, bóng đèn</t>
  </si>
  <si>
    <t>Chi tiền - TV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</si>
  <si>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</si>
  <si>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</si>
  <si>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</si>
  <si>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</si>
  <si>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</si>
  <si>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</si>
  <si>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</si>
  <si>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</si>
  <si>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</si>
  <si>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</si>
  <si>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</si>
  <si>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</si>
  <si>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</si>
  <si>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</si>
  <si>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</si>
  <si>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</si>
  <si>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</si>
  <si>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</si>
  <si>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</si>
  <si>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</si>
  <si>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</si>
  <si>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</si>
  <si>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</si>
  <si>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Khanh 29/4</t>
  </si>
  <si>
    <t>tiền chợ + ANQP  (nhà)</t>
  </si>
  <si>
    <t>Chi Trà Vinh - ứng lương</t>
  </si>
  <si>
    <t>Trả lãi vay - Cô Phương 4/4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</si>
  <si>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</si>
  <si>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</si>
  <si>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</si>
  <si>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</si>
  <si>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</si>
  <si>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</si>
  <si>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</si>
  <si>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</si>
  <si>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</si>
  <si>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</si>
  <si>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</si>
  <si>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tiền gạo - nhà</t>
  </si>
  <si>
    <t>mua khăn lau cá bò</t>
  </si>
  <si>
    <t>tiền chăm sóc cây kiểng T3 + T4</t>
  </si>
  <si>
    <t>Chi phí - TV (Chú Duy)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</si>
  <si>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</si>
  <si>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</si>
  <si>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</si>
  <si>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</si>
  <si>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</si>
  <si>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</si>
  <si>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</si>
  <si>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</si>
  <si>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</si>
  <si>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</si>
  <si>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Thanh toán tiền gas -  Tân Hải Việt 1/4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</si>
  <si>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</si>
  <si>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</si>
  <si>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</si>
  <si>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</si>
  <si>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</si>
  <si>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</si>
  <si>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</si>
  <si>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</si>
  <si>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</si>
  <si>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</si>
  <si>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</si>
  <si>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</si>
  <si>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</si>
  <si>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</si>
  <si>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</si>
  <si>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Hoa Hồng cont Ghẹ(Mi-Chang)</t>
  </si>
  <si>
    <t>Tiền bột bắp</t>
  </si>
  <si>
    <t>Chi phí mua vật tư</t>
  </si>
  <si>
    <t>Tiền chợ, mua đồ cúng</t>
  </si>
  <si>
    <t>DĐồ cúng</t>
  </si>
  <si>
    <t>Quốc VT - Lãi vay</t>
  </si>
  <si>
    <t>Sửa xe 51A-14174</t>
  </si>
  <si>
    <t>Tiển đt &amp; internet</t>
  </si>
  <si>
    <t>chi phí nhà</t>
  </si>
  <si>
    <t>Thức ăn chim</t>
  </si>
  <si>
    <t>Tiền in hóa đơn TV</t>
  </si>
  <si>
    <t>Mua thuức ăn cá</t>
  </si>
  <si>
    <t>Tiển đt C 10</t>
  </si>
  <si>
    <t>Tạm ứng mua bóng đèn &amp; quạt</t>
  </si>
  <si>
    <t>Tiền chợ nhà</t>
  </si>
  <si>
    <t>Mén - Tiền lãi</t>
  </si>
  <si>
    <t>Kiễm mẫu nước</t>
  </si>
  <si>
    <t>Mua bao tay xốp, xăng</t>
  </si>
  <si>
    <t>Tiền đt 8</t>
  </si>
  <si>
    <t>Bão dưỡng thay nhớt xe 51F-08056</t>
  </si>
  <si>
    <t>Q4 - Nộp TM</t>
  </si>
  <si>
    <t>DĐóng tiền điện</t>
  </si>
  <si>
    <t>T/c sấy ghẹ</t>
  </si>
  <si>
    <t>Laàm máy chiếu UV</t>
  </si>
  <si>
    <t>Bồi dưỡng kiểm hàng</t>
  </si>
  <si>
    <t>Thanh MN - phí gửi hàng</t>
  </si>
  <si>
    <t>tiền gừi thư</t>
  </si>
  <si>
    <t>Thay bình xe 51F-08056</t>
  </si>
  <si>
    <t>Khanh - lãi vay</t>
  </si>
  <si>
    <t>Chi phí xưởng linh tinh</t>
  </si>
  <si>
    <t>Ứng lương TV</t>
  </si>
  <si>
    <t>Đi công tác</t>
  </si>
  <si>
    <t>Mua bao PP vòi nước KT</t>
  </si>
  <si>
    <t>Mua bơm nước 3HP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</si>
  <si>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</si>
  <si>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</si>
  <si>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</si>
  <si>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</si>
  <si>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</si>
  <si>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</si>
  <si>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</si>
  <si>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</si>
  <si>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</si>
  <si>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</si>
  <si>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</si>
  <si>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</si>
  <si>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Tiển xăng dầu</t>
  </si>
  <si>
    <t>Khanh - mượn</t>
  </si>
  <si>
    <t>C. Liêng - mượn</t>
  </si>
  <si>
    <t>Đông Phương - Trả tiền</t>
  </si>
  <si>
    <t>Kiễểm cont mực</t>
  </si>
  <si>
    <t>A Đĩnh</t>
  </si>
  <si>
    <t>Chi phí cô</t>
  </si>
  <si>
    <t>Chi phí chú</t>
  </si>
  <si>
    <t>Phí lấy hàng &amp; Thức ăn cá</t>
  </si>
  <si>
    <t>Luương T5/16</t>
  </si>
  <si>
    <t>Mua miếng dán ruồi, khăn vụn</t>
  </si>
  <si>
    <t>Lương VP T5/16</t>
  </si>
  <si>
    <t>Dung Khải - Trả tiền cá</t>
  </si>
  <si>
    <t>Hương ghẹ</t>
  </si>
  <si>
    <t>Chi phí công tác TV</t>
  </si>
  <si>
    <t>Viện phí (Muỗi Tron)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</si>
  <si>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</si>
  <si>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</si>
  <si>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</si>
  <si>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</si>
  <si>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</si>
  <si>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</si>
  <si>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Mua phií gt 2xe</t>
  </si>
  <si>
    <t>Lương  T5/16</t>
  </si>
  <si>
    <t>Tiền nước</t>
  </si>
  <si>
    <t>Phí bảo vệ</t>
  </si>
  <si>
    <t>Nộp TK - Vũ Thụy</t>
  </si>
  <si>
    <t>Minh Tài - Trả tiền ghẹ</t>
  </si>
  <si>
    <t>Chi phí C Duy &amp; C Hoa</t>
  </si>
  <si>
    <t>Mua đồng hồ kho</t>
  </si>
  <si>
    <t>Tiền bơm mực in</t>
  </si>
  <si>
    <t>Tiền thai sản B Thi</t>
  </si>
  <si>
    <t>Tiền thuế VAT cont bột</t>
  </si>
  <si>
    <t>Tiền xăng dầu</t>
  </si>
  <si>
    <t>Mua bóng đèn nhà</t>
  </si>
  <si>
    <t>Mua sơ dừa, chậu trồng mai</t>
  </si>
  <si>
    <t>Mua gas + đồng hồ kho lạnh</t>
  </si>
  <si>
    <t>Chi tiền cont mực - A Thành</t>
  </si>
  <si>
    <t>Trả tiền nước mắm - Thanh Hà</t>
  </si>
  <si>
    <t>Tiền gia hạn chữ ký số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</si>
  <si>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</si>
  <si>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</si>
  <si>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</si>
  <si>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</si>
  <si>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</si>
  <si>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Trả tiền mượn - Cô Phương (chú duy)</t>
  </si>
  <si>
    <t>Trả lãi vay 21/6 - Bé Mén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</si>
  <si>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</si>
  <si>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</si>
  <si>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</si>
  <si>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</si>
  <si>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</si>
  <si>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</si>
  <si>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</si>
  <si>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</si>
  <si>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</si>
  <si>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</si>
  <si>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</si>
  <si>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Tạm ứng thay võ + nhớt xe 51A 141.74</t>
  </si>
  <si>
    <t>Bồi dưỡng  - Thảo PV</t>
  </si>
  <si>
    <t>Nộp TK EIB  - Q11 (đáo hạn NH)</t>
  </si>
  <si>
    <t>Tạm ứng mua vật tư làm lò sấy (gas)</t>
  </si>
  <si>
    <t>Đóng tiền điện nhà T6/16</t>
  </si>
  <si>
    <t>Chi Nafi kiểm hàng cont ghẹ</t>
  </si>
  <si>
    <t>Mua vật tư sửa kho 3 + tủ điện PCCC</t>
  </si>
  <si>
    <t>Chi phí xưởng + trực sấy tẩm ghẹ</t>
  </si>
  <si>
    <t>Mua vật tư làm lò sấy gas  - LA</t>
  </si>
  <si>
    <t>Chi đóng thuế VAT con bột</t>
  </si>
  <si>
    <t>Chi NH - PV (Sơn, Ái, Dĩnh công chứng)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</si>
  <si>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</si>
  <si>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</si>
  <si>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</si>
  <si>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</si>
  <si>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</si>
  <si>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</si>
  <si>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</si>
  <si>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</si>
  <si>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</si>
  <si>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</si>
  <si>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 (Cô Phương)</t>
  </si>
  <si>
    <t>Nộp tiền TK PV Bank</t>
  </si>
  <si>
    <t xml:space="preserve">Chi tiền TV - Thuỵ 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</si>
  <si>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</si>
  <si>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</si>
  <si>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</si>
  <si>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</si>
  <si>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Chi phí nhà - vs máy lạnh</t>
  </si>
  <si>
    <t>bồi dưỡng làm đêm sấy ghẹ + cá ngừ</t>
  </si>
  <si>
    <t>tiền nước T6/16 - nhà cô</t>
  </si>
  <si>
    <t>chi tiền kho lạnh - Trí ME</t>
  </si>
  <si>
    <t>Chi tiền máy nướng + máy cực tím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</si>
  <si>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</si>
  <si>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</si>
  <si>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</si>
  <si>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</si>
  <si>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</si>
  <si>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</si>
  <si>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</si>
  <si>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</si>
  <si>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</si>
  <si>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</si>
  <si>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</si>
  <si>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</si>
  <si>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</si>
  <si>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tiền xe chở hàng cá cơm</t>
  </si>
  <si>
    <t>tạm ứng mua sắt, tole làm mái che lô sấy</t>
  </si>
  <si>
    <t>Tiền đặt cọc + bồi dưỡng tài xế cont ghẹ</t>
  </si>
  <si>
    <t>đóng tiền điện thoại  - chú Duy</t>
  </si>
  <si>
    <t>tiền xe chở hàng chiếu xạ</t>
  </si>
  <si>
    <t>3411</t>
  </si>
  <si>
    <t>A. Bình</t>
  </si>
  <si>
    <t>635</t>
  </si>
  <si>
    <t>7 Lâm</t>
  </si>
  <si>
    <t>9 Hoàng</t>
  </si>
  <si>
    <t>Cẩm TV</t>
  </si>
  <si>
    <t>A Thành</t>
  </si>
  <si>
    <t>Cơ HT</t>
  </si>
  <si>
    <t>Đông Tiến</t>
  </si>
  <si>
    <t>Cúc BĐ</t>
  </si>
  <si>
    <t>Danh BL</t>
  </si>
  <si>
    <t>Thảo GC</t>
  </si>
  <si>
    <t>Dũng Điểm</t>
  </si>
  <si>
    <t>Dũng KG</t>
  </si>
  <si>
    <t>Dung Khải</t>
  </si>
  <si>
    <t>Huệ BĐ</t>
  </si>
  <si>
    <t>Hương ST</t>
  </si>
  <si>
    <t>Lam Lee</t>
  </si>
  <si>
    <t>Liêm Ghẹ</t>
  </si>
  <si>
    <t>Luân VT</t>
  </si>
  <si>
    <t>Lùn TV</t>
  </si>
  <si>
    <t>Minh Tài</t>
  </si>
  <si>
    <t>Nam Cá Việt</t>
  </si>
  <si>
    <t>Nga BT</t>
  </si>
  <si>
    <t>Nga ST</t>
  </si>
  <si>
    <t>Loan HT</t>
  </si>
  <si>
    <t>Phán VT</t>
  </si>
  <si>
    <t>Tiên KG</t>
  </si>
  <si>
    <t>Thắm BT</t>
  </si>
  <si>
    <t>Thanh MN</t>
  </si>
  <si>
    <t>Thủy CL</t>
  </si>
  <si>
    <t>7 Long Hải</t>
  </si>
  <si>
    <t>Hiệp PT</t>
  </si>
  <si>
    <t>Vân CM</t>
  </si>
  <si>
    <t>Trắng VL</t>
  </si>
  <si>
    <t>Trí Hảo VT</t>
  </si>
  <si>
    <t>Trung VT</t>
  </si>
  <si>
    <t>Tỷ Liên</t>
  </si>
  <si>
    <t>Trả tiền cá</t>
  </si>
  <si>
    <t>7 Nghĩa</t>
  </si>
  <si>
    <t>BD tăng ca</t>
  </si>
  <si>
    <t>Tiền hiệu chuẩn nhiệt kế</t>
  </si>
  <si>
    <t>Làm chứng nhận dánh bắt</t>
  </si>
  <si>
    <t>Hao hồng APT</t>
  </si>
  <si>
    <t>Thu NH Q4</t>
  </si>
  <si>
    <t xml:space="preserve">Nộp Q4 </t>
  </si>
  <si>
    <t>BD kiểm nafi</t>
  </si>
  <si>
    <t>Chi phí xuất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</si>
  <si>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</si>
  <si>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</si>
  <si>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</si>
  <si>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</si>
  <si>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</si>
  <si>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</si>
  <si>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</si>
  <si>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</si>
  <si>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</si>
  <si>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</si>
  <si>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</si>
  <si>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</si>
  <si>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</si>
  <si>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</si>
  <si>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</si>
  <si>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</si>
  <si>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</si>
  <si>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</si>
  <si>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</si>
  <si>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</si>
  <si>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</si>
  <si>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</si>
  <si>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</si>
  <si>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</si>
  <si>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</si>
  <si>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</si>
  <si>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</si>
  <si>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</si>
  <si>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</si>
  <si>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</si>
  <si>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</si>
  <si>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</si>
  <si>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</si>
  <si>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</si>
  <si>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</si>
  <si>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</si>
  <si>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</si>
  <si>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</si>
  <si>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</si>
  <si>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</si>
  <si>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</si>
  <si>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</si>
  <si>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</si>
  <si>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</si>
  <si>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</si>
  <si>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</si>
  <si>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</si>
  <si>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</si>
  <si>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</si>
  <si>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</si>
  <si>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</si>
  <si>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</si>
  <si>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</si>
  <si>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</si>
  <si>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</si>
  <si>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</si>
  <si>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</si>
  <si>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</si>
  <si>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</si>
  <si>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</si>
  <si>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</si>
  <si>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</si>
  <si>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</si>
  <si>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</si>
  <si>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</si>
  <si>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</si>
  <si>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</si>
  <si>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</si>
  <si>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</si>
  <si>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</si>
  <si>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T07</t>
  </si>
  <si>
    <t>Tiền kính nhôm TT Phát</t>
  </si>
  <si>
    <t>BD xuống hàng</t>
  </si>
  <si>
    <t>Tiền mè đưởng</t>
  </si>
  <si>
    <t>T01</t>
  </si>
  <si>
    <t>T02</t>
  </si>
  <si>
    <t>T03</t>
  </si>
  <si>
    <t>T04</t>
  </si>
  <si>
    <t>T05</t>
  </si>
  <si>
    <t>T06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</si>
  <si>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</si>
  <si>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</si>
  <si>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</si>
  <si>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</si>
  <si>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</si>
  <si>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</si>
  <si>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</si>
  <si>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</si>
  <si>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</si>
  <si>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</si>
  <si>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</si>
  <si>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</si>
  <si>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</si>
  <si>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</si>
  <si>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</si>
  <si>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</si>
  <si>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</si>
  <si>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</si>
  <si>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</si>
  <si>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</si>
  <si>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</si>
  <si>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</si>
  <si>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</si>
  <si>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</si>
  <si>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</si>
  <si>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</si>
  <si>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</si>
  <si>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</si>
  <si>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</si>
  <si>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</si>
  <si>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</si>
  <si>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</si>
  <si>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</si>
  <si>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</si>
  <si>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</si>
  <si>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</si>
  <si>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</si>
  <si>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</si>
  <si>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</si>
  <si>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</si>
  <si>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</si>
  <si>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</si>
  <si>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</si>
  <si>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</si>
  <si>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</si>
  <si>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</si>
  <si>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</si>
  <si>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</si>
  <si>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</si>
  <si>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</si>
  <si>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</si>
  <si>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</si>
  <si>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</si>
  <si>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</si>
  <si>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</si>
  <si>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</si>
  <si>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</si>
  <si>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</si>
  <si>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</si>
  <si>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</si>
  <si>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</si>
  <si>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</si>
  <si>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</si>
  <si>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</si>
  <si>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</si>
  <si>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</si>
  <si>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</si>
  <si>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</si>
  <si>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</si>
  <si>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</si>
  <si>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</si>
  <si>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</si>
  <si>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T08</t>
  </si>
  <si>
    <t>T09</t>
  </si>
  <si>
    <t>T10</t>
  </si>
  <si>
    <t>T11</t>
  </si>
  <si>
    <t>Tiền DT internet xưởng</t>
  </si>
  <si>
    <t>Thu T/ứng PC: 41 ngày 6/7</t>
  </si>
  <si>
    <t>Mua vật tư sửa lò sấy</t>
  </si>
  <si>
    <t>Thu tiền Q11</t>
  </si>
  <si>
    <t>Thu tiền TV</t>
  </si>
  <si>
    <t>Chi tiền kiểm nafi</t>
  </si>
  <si>
    <t>Chi lương T6</t>
  </si>
  <si>
    <t>Mua vật tư là sấy gas</t>
  </si>
  <si>
    <t>Chi phí bảo vệ</t>
  </si>
  <si>
    <t>Tiền cây kiểng</t>
  </si>
  <si>
    <t>T/ứng bảo dưỡng xe 51F-08016</t>
  </si>
  <si>
    <t>Thu T/ứng PC: 59 ngày 11/7</t>
  </si>
  <si>
    <t>T/ứng chi phí xuất hàng &amp; kiểm mẫu</t>
  </si>
  <si>
    <t>T12</t>
  </si>
  <si>
    <t>T13</t>
  </si>
  <si>
    <t>T14</t>
  </si>
  <si>
    <t>T15</t>
  </si>
  <si>
    <t>Bảo dưỡng xe 51F-08016</t>
  </si>
  <si>
    <t>Thu T/ứng PC: 84 ngày 18/7</t>
  </si>
  <si>
    <t>Đóng tiền cáp &amp; đt nhà</t>
  </si>
  <si>
    <t>Mua motuer</t>
  </si>
  <si>
    <t>Mua xi măng</t>
  </si>
  <si>
    <t>Tiền thuê taxi</t>
  </si>
  <si>
    <t>Mua gạo nhà</t>
  </si>
  <si>
    <t>Thu NH Q11</t>
  </si>
  <si>
    <t>Hụi chị Cẩm</t>
  </si>
  <si>
    <t>Quốc VT</t>
  </si>
  <si>
    <t>Thu tiền hàng TQ</t>
  </si>
  <si>
    <t>Giàu VT</t>
  </si>
  <si>
    <t xml:space="preserve">Thu tiền mượn </t>
  </si>
  <si>
    <t>Chi tiền khử mùi</t>
  </si>
  <si>
    <t>Tiền phí chuyển tiền</t>
  </si>
  <si>
    <t>Chị Yến</t>
  </si>
  <si>
    <t>Chi phí lấy hàng &amp; xuống hàng</t>
  </si>
  <si>
    <t>Chi tiền mua đường Trà vinh</t>
  </si>
  <si>
    <t>Chi phí Trà Vinh</t>
  </si>
  <si>
    <t>Mua máy định lượng</t>
  </si>
  <si>
    <t>Chi hoàn thuế LA</t>
  </si>
  <si>
    <t>Tiền dđt C.10</t>
  </si>
  <si>
    <t>Mua băng keo vàng thùng Tokai</t>
  </si>
  <si>
    <t>Chứng từ sân bay</t>
  </si>
  <si>
    <t>Tiền đt nhà</t>
  </si>
  <si>
    <t>Chi phí TV</t>
  </si>
  <si>
    <t>Tiền xe chở rong biển</t>
  </si>
  <si>
    <t>Tiền mua đồ</t>
  </si>
  <si>
    <t>Chi phí kiểm nafi</t>
  </si>
  <si>
    <t>Mua gas&amp; nhớt kho lạnh</t>
  </si>
  <si>
    <t>Mua lồng quạt lò sấy</t>
  </si>
  <si>
    <t>T16</t>
  </si>
  <si>
    <t>Tiền cơn Cn</t>
  </si>
  <si>
    <t>Chi phí kiểm hàng nafi</t>
  </si>
  <si>
    <t>3 Xuyên</t>
  </si>
  <si>
    <t xml:space="preserve">Thu tiền </t>
  </si>
  <si>
    <t>C. Mười</t>
  </si>
  <si>
    <t>Chi phí xuưởng</t>
  </si>
  <si>
    <t>Chi phí Gt</t>
  </si>
  <si>
    <t>Thu tiền</t>
  </si>
  <si>
    <t>Dì Út</t>
  </si>
  <si>
    <t>Thu t/ứng PC: 120 ngày 26/7</t>
  </si>
  <si>
    <t>Làm chứng từ rong biển</t>
  </si>
  <si>
    <t>Tiền xe bốc xếp A Lam</t>
  </si>
  <si>
    <t>Tuấn Nam</t>
  </si>
  <si>
    <t>Hiếu VT</t>
  </si>
  <si>
    <t>Tuyền BT</t>
  </si>
  <si>
    <t>Nộp Q11</t>
  </si>
  <si>
    <t>Thanh toán chi phí xuất hàng</t>
  </si>
  <si>
    <t>Thu T/ứng PC: 88 ngày 18/7</t>
  </si>
  <si>
    <t>BĐ tài xế xe cont</t>
  </si>
  <si>
    <t>T/ứng lương</t>
  </si>
  <si>
    <t>Mua băng tải ồng dẫn gas</t>
  </si>
  <si>
    <t>Chuyển tiền Quyền</t>
  </si>
  <si>
    <t>TT tiền gas</t>
  </si>
  <si>
    <t>Tân Hải Việt</t>
  </si>
  <si>
    <t>Tiền nước khoán</t>
  </si>
  <si>
    <t>Tiền Trà Vinh</t>
  </si>
  <si>
    <t>Tiền muượn</t>
  </si>
  <si>
    <t>Tiền Thai sản Muỗi Tron</t>
  </si>
  <si>
    <t>T/ửng sữa xe 51A-14174</t>
  </si>
  <si>
    <t>Thu tiền Q4</t>
  </si>
  <si>
    <t>Nộp tk thẻ</t>
  </si>
  <si>
    <t>Tiền xe chở hàng A Lam</t>
  </si>
  <si>
    <t>Tiền rác thải</t>
  </si>
  <si>
    <t>Mua tole che phòng nước thải</t>
  </si>
  <si>
    <t>Tiền thuêế dất</t>
  </si>
  <si>
    <t>Thế Cường</t>
  </si>
  <si>
    <t>Mua thuức ăn chim</t>
  </si>
  <si>
    <t>Hoa Hồng</t>
  </si>
  <si>
    <t>Hương Bizmax</t>
  </si>
  <si>
    <t>Bảo hiểm xe 51A-14174</t>
  </si>
  <si>
    <t>Tiền khay nhôm</t>
  </si>
  <si>
    <t>Kiễm mẫu</t>
  </si>
  <si>
    <t>BD xe cont</t>
  </si>
  <si>
    <t>Tiền phế liệu</t>
  </si>
  <si>
    <t>Thu t/ứng PC:40 ngày 8/8</t>
  </si>
  <si>
    <t>Tiền sửa xe 51A-14174</t>
  </si>
  <si>
    <t>Kiểm nafi</t>
  </si>
  <si>
    <t>Phí gt</t>
  </si>
  <si>
    <t>Tiền xe A Lam</t>
  </si>
  <si>
    <t>Chi phí lương TV</t>
  </si>
  <si>
    <t>Bánh xe đẩy vĩ</t>
  </si>
  <si>
    <t>Sửa máy vi tính</t>
  </si>
  <si>
    <t>T/ứng mua điện trở</t>
  </si>
  <si>
    <t>Bd tăng ca</t>
  </si>
  <si>
    <t>Thu Pvcombank</t>
  </si>
  <si>
    <t>Tiền bảo hiểm</t>
  </si>
  <si>
    <t>Sái Tý</t>
  </si>
  <si>
    <t>Chị Cẩm</t>
  </si>
  <si>
    <t>Tài HT</t>
  </si>
  <si>
    <t>Trà tiền bột</t>
  </si>
  <si>
    <t>Linh</t>
  </si>
  <si>
    <t xml:space="preserve">Tiền cơm </t>
  </si>
  <si>
    <t>Mua đồ nhà</t>
  </si>
  <si>
    <t>Nhu PQ</t>
  </si>
  <si>
    <t>Chi lương KTHien</t>
  </si>
  <si>
    <t>Tiền đt &amp; internet</t>
  </si>
  <si>
    <t>Mua diện trở</t>
  </si>
  <si>
    <t>Thu t/ứng PC: 69 ngày 16/8</t>
  </si>
  <si>
    <t>Bd sấy ghẹ</t>
  </si>
  <si>
    <t>tiền xe A Laâm TQ</t>
  </si>
  <si>
    <t>T17</t>
  </si>
  <si>
    <t>Thu tiền mượn - bạn C. Phương</t>
  </si>
  <si>
    <t>Thu tiền hàng - A. Lâm</t>
  </si>
  <si>
    <t>Phí bảo vệ T7/16</t>
  </si>
  <si>
    <t>Lãi vay 21/8 - Bé Mén</t>
  </si>
  <si>
    <t>Tiền xe đi VT</t>
  </si>
  <si>
    <t>Mua vật tư LA- TV</t>
  </si>
  <si>
    <t>Chi phí tiếp khách LA - TV</t>
  </si>
  <si>
    <t>Chi tiền hạ tầng TV</t>
  </si>
  <si>
    <t>Nộp tiền EIB Q4 - Trả lãi</t>
  </si>
  <si>
    <t>Thay vỏ xe 51A - 141.74 (2 cái)</t>
  </si>
  <si>
    <t>tiền chợ nhà - TK Nga</t>
  </si>
  <si>
    <t>đóng tiền internet nhà</t>
  </si>
  <si>
    <t>đóng tiền điện thoại cô T6/16</t>
  </si>
  <si>
    <t>Trả tiền cá - Tỷ Liên</t>
  </si>
  <si>
    <t>Tiền điện thoại T7/16 - Chú 10</t>
  </si>
  <si>
    <t>Tiền gas Tân hải Việt</t>
  </si>
  <si>
    <t>Tiền băng keo - Thịnh Phước</t>
  </si>
  <si>
    <t>Mua dđồ cúng - xưởng</t>
  </si>
  <si>
    <t>Chi tiền  - Trả tiền cá</t>
  </si>
  <si>
    <t>Đóng tiền điện thoại T8/16 - Nhà</t>
  </si>
  <si>
    <t>Mua điện trở lò luộc ghẹ</t>
  </si>
  <si>
    <t>Mua clorin</t>
  </si>
  <si>
    <t>T/ứng bồi dưỡng sấy hàng</t>
  </si>
  <si>
    <t>thanh toán tiền nước suối 12/6 - 27/8</t>
  </si>
  <si>
    <t>Chi tiền chợ nhà</t>
  </si>
  <si>
    <t>chi tiền đi chùa</t>
  </si>
  <si>
    <t>Nộp tiền Pvcombank (đáo hạn)</t>
  </si>
  <si>
    <t>Tiền xe chở hàng đi sân bay</t>
  </si>
  <si>
    <t>chi phí giao thông - chi phí nhà</t>
  </si>
  <si>
    <t>Trả tiền mượn - C. liêng</t>
  </si>
  <si>
    <t>Trả tiền mượn - (Minh bạn Phương)</t>
  </si>
  <si>
    <t>trả tiền cá A Lam</t>
  </si>
  <si>
    <t>Chi tiền TV - Ứng lương</t>
  </si>
  <si>
    <t>Trả tiền mượn - (Phương Khanh)</t>
  </si>
  <si>
    <t>chi tạm ứng lương T8/16 (vp,tn,tp,tv)</t>
  </si>
  <si>
    <t>bồi dưỡng xe đổ rác xưởng</t>
  </si>
  <si>
    <t>T18</t>
  </si>
  <si>
    <t>Tiền mua đồ cúng 31/7 - nhà</t>
  </si>
  <si>
    <t>Tiền mua đồ cúng 31/7 - xưởng</t>
  </si>
  <si>
    <t>chi tiền chăm sóc cây kiểng T7 + T8/16</t>
  </si>
  <si>
    <t>Trả lãi vay - Minh bạn Phương 1/9</t>
  </si>
  <si>
    <t>Mua hủ nhựa - Duy Tân</t>
  </si>
  <si>
    <t>Tiền chợ nhà - 2/9</t>
  </si>
  <si>
    <t>Chi phí nhà + TV</t>
  </si>
  <si>
    <t>Trả lãi vay - Huy bạn Ngân 5/9</t>
  </si>
  <si>
    <t>Mua đồ cúng 2/8al + tiền cơm</t>
  </si>
  <si>
    <t>tiền xăng dầu 17/8 - 31/8</t>
  </si>
  <si>
    <t>Phí kiềm hàng Nafi cho APT (cơm + chỉ)</t>
  </si>
  <si>
    <t>Phí lưu kho APT</t>
  </si>
  <si>
    <t>Tiền nước T8/16 + tiền chợ (nhà)</t>
  </si>
  <si>
    <t>Mua vật tư sửa tủ điện</t>
  </si>
  <si>
    <t>chi phí TK + linh tinh</t>
  </si>
  <si>
    <t>chi hoa hồng - Trung Tokai (cont t6/16)</t>
  </si>
  <si>
    <t>đóng tiền đt T7 + T8 (Chú Duy)</t>
  </si>
  <si>
    <t>Bồi dưỡng Nafi (Chú Duy)</t>
  </si>
  <si>
    <t>Thu tiền NH Pvcombank</t>
  </si>
  <si>
    <t>Thu tiền NH Q11</t>
  </si>
  <si>
    <t xml:space="preserve">Nộp TK cô 8 </t>
  </si>
  <si>
    <t>Chi tiền TV (mua đường)</t>
  </si>
  <si>
    <t>Trả tiền cá - Nga H.Tân</t>
  </si>
  <si>
    <t>Trả tiền cá - Thuỷ Thành</t>
  </si>
  <si>
    <t>Trả tiền cá - Thái H.Tân</t>
  </si>
  <si>
    <t>Chi hoa hồng rong biển - A.PACK</t>
  </si>
  <si>
    <t>Trả tiền mượn - Dì 3</t>
  </si>
  <si>
    <t>Chi tiền gửi  Q.Anh</t>
  </si>
  <si>
    <t>Đóng hụi kỳ - Chị Cẩm</t>
  </si>
  <si>
    <t>Trả lãi vay 9/9 C. Liêng</t>
  </si>
  <si>
    <t>Tiền chợ nhà 6/9 - 9/9</t>
  </si>
  <si>
    <t>T/úng thay nhớt xe 51A.141.74</t>
  </si>
  <si>
    <t>Hoa hồng cont cá chai  (Hương)</t>
  </si>
  <si>
    <t>Chi phí - TV (Cô)</t>
  </si>
  <si>
    <t>Chi phí TK (Chú)</t>
  </si>
  <si>
    <t>Tiền chợ nhà + đồ cúng</t>
  </si>
  <si>
    <t>tiền gửi thư bưu chính T7 + T8/16</t>
  </si>
  <si>
    <t>Trả tiền cá cơm - TQ</t>
  </si>
  <si>
    <t>Chi tiền TK - Tokai</t>
  </si>
  <si>
    <t>Chi tiền TV - lương</t>
  </si>
  <si>
    <t>chi tiền nước TK 15/8 - 9/9</t>
  </si>
  <si>
    <t>Nộp thẻ - C. Thu</t>
  </si>
  <si>
    <t>tiền đt + internet T8/16 - xưởng</t>
  </si>
  <si>
    <t>chi lương T8/16 (VP,TN,TP,TV)</t>
  </si>
  <si>
    <t>Mua vật tư xưởng - Chú Duy</t>
  </si>
  <si>
    <t>Thu t/ứng PC39 ngày 12/9</t>
  </si>
  <si>
    <t>chi bão dưỡng 51A - 141.74</t>
  </si>
  <si>
    <t>mua thuức ăn cá</t>
  </si>
  <si>
    <t>Nộp EIB Q4 - Trả lãi vay</t>
  </si>
  <si>
    <t>tiền tưới cây kiểng T8/16</t>
  </si>
  <si>
    <t>Tiền cáp T8/16 - Nhà</t>
  </si>
  <si>
    <t>tiền phí kiểm hàng APT</t>
  </si>
  <si>
    <t>Thu tiền  - Nguyệt Minh</t>
  </si>
  <si>
    <t>Trả tiền cá - Kim Cương</t>
  </si>
  <si>
    <t>Mua đồ cúng Chùa</t>
  </si>
  <si>
    <t>Chi tiền xe chở hàng - Tỷ Liên</t>
  </si>
  <si>
    <t>Mua phí giao thông tháng 2 xe</t>
  </si>
  <si>
    <t>thu t/úng PC 57 ngày 12/8 (Chú Duyệt)</t>
  </si>
  <si>
    <t>Chi kiểm mẫu, nước hiệu chuẩn cân</t>
  </si>
  <si>
    <t>Mua đồ cúng 15/8al</t>
  </si>
  <si>
    <t>đóng tiền đthoại + internet T8/16 (Nhà)</t>
  </si>
  <si>
    <t>Mua túi ziper + xốp bao PP</t>
  </si>
  <si>
    <t>Mua thuốc - Cô 8</t>
  </si>
  <si>
    <t>thu tiền Baseafood</t>
  </si>
  <si>
    <t>Tiền chợ nhà 21/9</t>
  </si>
  <si>
    <t>t/úng đi Công tác BDương</t>
  </si>
  <si>
    <t>Mua vải chịu nhiệt - Trà Vinh</t>
  </si>
  <si>
    <t>Tiền công thợ hồ</t>
  </si>
  <si>
    <t>Thu tiền phế liệu - Chị Yến</t>
  </si>
  <si>
    <t>Tiền gas Tân hải Việt 26/8</t>
  </si>
  <si>
    <t>thu tiền mượn - Chú Duyệt</t>
  </si>
  <si>
    <t>Nộp TK EIB Q11 - đóng tiền điện</t>
  </si>
  <si>
    <t>Thu tiền hàng - cty Hiệp Phong</t>
  </si>
  <si>
    <t>Tiền phí bảo vệ T8/16</t>
  </si>
  <si>
    <t>Chi tiền đổ dầu xe 51a - 141.74</t>
  </si>
  <si>
    <t>Mua xơ dừa 20b</t>
  </si>
  <si>
    <t>Chi phí đi TV - Chú Duy</t>
  </si>
  <si>
    <t>Chi phí kiểm ATP (chỉ + cơm)</t>
  </si>
  <si>
    <t>Chi phí đi đóng hàng BDương</t>
  </si>
  <si>
    <t>Thu tiền t/úng đi BDương</t>
  </si>
  <si>
    <t>Chi tiền xăng dầu 1/9 - 15/9</t>
  </si>
  <si>
    <t>Chi tiền chợ nhà 24/9</t>
  </si>
  <si>
    <t>Thu tiền muượn - Hằng (A.Thắng)</t>
  </si>
  <si>
    <t>Nộp TK EIB Q4 - TV</t>
  </si>
  <si>
    <t>Trả tiền mượn  - C. Liêng</t>
  </si>
  <si>
    <t>Phí rút tiền</t>
  </si>
  <si>
    <t>trả lãi vay - Quốc VT 20/9</t>
  </si>
  <si>
    <t>chi sửa máy bơm _ sửa chữa xưởng</t>
  </si>
  <si>
    <t>Trả lãi vay 2/9 - Mén</t>
  </si>
  <si>
    <t>Tiền điện thoại T8/16 - Chú 10</t>
  </si>
  <si>
    <t>Tiền điện thoại T7/16 - Cô 8</t>
  </si>
  <si>
    <t>T/úng lương T9/16 (Tết Khome)</t>
  </si>
  <si>
    <t>T/ứng mua sắt + xi măng + sửa bồn cầu</t>
  </si>
  <si>
    <t>Mua khăn vụn  - TV</t>
  </si>
  <si>
    <t>Kiểm mẫu nước</t>
  </si>
  <si>
    <t>chi tiền khám bệnh</t>
  </si>
  <si>
    <t>Đóng tiền điện T8/16 - Nhà</t>
  </si>
  <si>
    <t>Mua đồ cúng 30/8al - xưởng</t>
  </si>
  <si>
    <t>Mua PA clorin</t>
  </si>
  <si>
    <t>Mua cây lau nhà VP</t>
  </si>
  <si>
    <t>mua đồ cúng khai trương</t>
  </si>
  <si>
    <t>mua đồ cúng 16/1 al</t>
  </si>
  <si>
    <t>Nộp TK EIB Q4 - TV (đóng tiền điện)</t>
  </si>
  <si>
    <t>Mua bao kiếng OPP + Băng keo vàng</t>
  </si>
  <si>
    <t>thu t/ứng PC 124 ngày 26/8 trực sấy</t>
  </si>
  <si>
    <t>Bồi dưỡng tca sấy 20/8 - 24/9</t>
  </si>
  <si>
    <t>T19</t>
  </si>
  <si>
    <t>T20</t>
  </si>
  <si>
    <t>T21</t>
  </si>
  <si>
    <t>Trả tiền cá - Tuyền Bến tre</t>
  </si>
  <si>
    <t>Trả tiền cá - Tài Bthuận</t>
  </si>
  <si>
    <t>Nộp TK EIB Q11 - Nộp thuế</t>
  </si>
  <si>
    <t>thu t/úng pc 27 ngày 5/8 (cphi xuất hàng)</t>
  </si>
  <si>
    <t>Chi phí xuất hàng T8 + T9/16</t>
  </si>
  <si>
    <t>Chi sửa xe Atila</t>
  </si>
  <si>
    <t>T/ứng tiền tca trực sấy</t>
  </si>
  <si>
    <t>chí phí xưởng - cường</t>
  </si>
  <si>
    <t>T/ứng đóng tiền ATP - Duyệt</t>
  </si>
  <si>
    <t>chi phí giao thông - tiền báo</t>
  </si>
  <si>
    <t>Nộp TK EIB  - Q11 (đóng tiền điện LA)</t>
  </si>
  <si>
    <t>Trả lãi vay 29/9 - Phương Khanh</t>
  </si>
  <si>
    <t>Thay dây, nạp bình PCCC</t>
  </si>
  <si>
    <t>Mua màu thực phẩm - Hớn Phong</t>
  </si>
  <si>
    <t>Thu tiền mượn - Nguyệt</t>
  </si>
  <si>
    <t>Chi TV - C. Thuỵ</t>
  </si>
  <si>
    <t>Hoa hồng APT (2cont)</t>
  </si>
  <si>
    <t>Tiền đthoại T8/13 - Cô</t>
  </si>
  <si>
    <t>T/úng lấy bill + C/O - Chú Duyệt</t>
  </si>
  <si>
    <t>Chi tiền - Thuỷ (Chợ Lớn)</t>
  </si>
  <si>
    <t>Thu tiền mượn - cô Phương</t>
  </si>
  <si>
    <t>Nộp TK PV combank (đáo hạn)</t>
  </si>
  <si>
    <t>Trả tiền - Dì út</t>
  </si>
  <si>
    <t>Tiền hụi - Sái Tý</t>
  </si>
  <si>
    <t>Tiền xăng dầu 15-30/9</t>
  </si>
  <si>
    <t>Trả tiền cá - Nga ST</t>
  </si>
  <si>
    <t>Trả lãi vay - Cô Phương</t>
  </si>
  <si>
    <t>Thu t/ứng PC 16 ngày 4/10 - Bé Hai</t>
  </si>
  <si>
    <t>Tca trực sấy + chi phí xưởng</t>
  </si>
  <si>
    <t>chi t/ứng chi phí xưởng - Bé Hai</t>
  </si>
  <si>
    <t>Tiền gạo nhà</t>
  </si>
  <si>
    <t>T/ứng mua vật tư - TV</t>
  </si>
  <si>
    <t>Trả tiền mè đường - A Phát</t>
  </si>
  <si>
    <t>Đóng bảo hiểm - cô 8</t>
  </si>
  <si>
    <t>Trả lãi vay 5/10 - Huy bạn Ngân</t>
  </si>
  <si>
    <t>Chi môi trường Minh Việt</t>
  </si>
  <si>
    <t>thu t/ứng PC18 ngày 4/10 + PC 35 ngày 6/10</t>
  </si>
  <si>
    <t>chi phí xuất hàng + lấy bill</t>
  </si>
  <si>
    <t>chi xét nghiệm nước</t>
  </si>
  <si>
    <t>T/ứng chi phí xuất hàng T10/16</t>
  </si>
  <si>
    <t>Trả tiền mượn + lãi (C.Liêng)</t>
  </si>
  <si>
    <t>Trả lãi vay 1/10 - Nguyệt Minh</t>
  </si>
  <si>
    <t>Trả tiền cá - Thái Danh HT</t>
  </si>
  <si>
    <t>T/ứng  - Ngọc Thuận</t>
  </si>
  <si>
    <t>tiền may áo dài - Quốc Anh</t>
  </si>
  <si>
    <t>Mua miếng tải nhạt đầu đốt - TV</t>
  </si>
  <si>
    <t>Tiền sửa máy lạnh - TV</t>
  </si>
  <si>
    <t>Chi phí bảo vệ T9</t>
  </si>
  <si>
    <t>bồi dưỡng cont cá ngừ</t>
  </si>
  <si>
    <t>Tiền đthoại T9/16 - Xưởng</t>
  </si>
  <si>
    <t>Tiền đthoại + tiền chợ (nhà)</t>
  </si>
  <si>
    <t>Tiền gas - Tân Haỉ Việt</t>
  </si>
  <si>
    <t>Chi phí TK + Chi phí TV</t>
  </si>
  <si>
    <t>Tiền xe chở cá cơm</t>
  </si>
  <si>
    <t>Mua đồ cúng 15/9 Al</t>
  </si>
  <si>
    <t>T/ứng đi công tác  - BDương</t>
  </si>
  <si>
    <t>Mua vpp</t>
  </si>
  <si>
    <t>Tiền chăm sóc cây kiểng T9/16</t>
  </si>
  <si>
    <t>Mua phií giao thông + cúng xe</t>
  </si>
  <si>
    <t>tiền xăng dầu 1 - 16/10</t>
  </si>
  <si>
    <t>Chi rửa hình KSK</t>
  </si>
  <si>
    <t>Chi tiền - TV (Lương)</t>
  </si>
  <si>
    <t>Trả tiền cá - Tấn TG</t>
  </si>
  <si>
    <t>Chi đoàn Kt môi trường</t>
  </si>
  <si>
    <t>tiền chợ nhà</t>
  </si>
  <si>
    <t>Chi lương T9/16 - LA</t>
  </si>
  <si>
    <t>Thu t/ứng PC 89 ngày 14/10</t>
  </si>
  <si>
    <t>đi công tác - Bdương</t>
  </si>
  <si>
    <t xml:space="preserve">Nộp tiền Pvcombank </t>
  </si>
  <si>
    <t>Mua vật tư HACCP + Biểu đồ kho lạnh</t>
  </si>
  <si>
    <t>Đóng lệ phí KSK Công nhân</t>
  </si>
  <si>
    <t>đi công tác - Phan Thiết</t>
  </si>
  <si>
    <t>Thu t/ứng pc 105 ngày 18/10 - chú 10</t>
  </si>
  <si>
    <t>Mua vật tư TV - Chú 10</t>
  </si>
  <si>
    <t>T/ứng mua vật tư sửa phòng sấy, máy nướng</t>
  </si>
  <si>
    <t>Sửa xe, thay nhớt xe 51F - 080.56</t>
  </si>
  <si>
    <t>Thu t/ứng PC 52 ngày 8/10 - Bé Hai</t>
  </si>
  <si>
    <t>T/ứng chi phí xưởng - Bé Hai</t>
  </si>
  <si>
    <t>Mua vật tư vs HACCP</t>
  </si>
  <si>
    <t>thay mực máy photo + mua cồn</t>
  </si>
  <si>
    <t>Trả lãi vay 21/10 - bé Mén</t>
  </si>
  <si>
    <t>Trả lãi vay 20/10 - Quốc VT</t>
  </si>
  <si>
    <t>T/ứng đóng tiền tàu + Nafi (cont Nga)</t>
  </si>
  <si>
    <t>Mua giỏ xách</t>
  </si>
  <si>
    <t>Tiền đthoại T9/16 - Chú 10</t>
  </si>
  <si>
    <t>Chi phí xưởng - Chú duy</t>
  </si>
  <si>
    <t>Trả tiền mượn + lãi 24/10 - C. Hằng</t>
  </si>
  <si>
    <t>Mua dây sạc đthoại - Cô 8</t>
  </si>
  <si>
    <t>Chi tiền công thợ hồ</t>
  </si>
  <si>
    <t>Nộp tiền EIB Q4  TV- Trả lãi</t>
  </si>
  <si>
    <t>Chi phí nhà</t>
  </si>
  <si>
    <t>Tiền điện T10/16 nhà</t>
  </si>
  <si>
    <t>thu t.ứng PC 110 ngày 19/10</t>
  </si>
  <si>
    <t>Chi KSK công nhân</t>
  </si>
  <si>
    <t>tiền nước TK, thợ hồ, thợ điện</t>
  </si>
  <si>
    <t>Thu t/ứng PC 54 ngày 8/10 + PC 115 ngày 19/10</t>
  </si>
  <si>
    <t>Chi sửa máy nướng + HACCP (LA)</t>
  </si>
  <si>
    <t>Tiền nước suối 27/8 - 26/10</t>
  </si>
  <si>
    <t>Chi phí đi Hàm Tân</t>
  </si>
  <si>
    <t>T/ứng mua sơn xịt bóng đèn (Ktra HACCP)</t>
  </si>
  <si>
    <t>Trả lãi vay - 3 Xuyên</t>
  </si>
  <si>
    <t>Trả lãi vay - Út Thái</t>
  </si>
  <si>
    <t>Trả lãi vay - Cô Liêng</t>
  </si>
  <si>
    <t>Trả lãi vay - Nghĩa Liêng</t>
  </si>
  <si>
    <t>Trả lãi vay - A Nghĩa</t>
  </si>
  <si>
    <t>Trả lãi vay - Cô Liêng 9/5</t>
  </si>
  <si>
    <t>Trả lãi vay - Huy</t>
  </si>
  <si>
    <t>Trả lãi vay - Huy bạn Ngân 5/7</t>
  </si>
  <si>
    <t>Cty Đông Tiến - Trả tiền cá</t>
  </si>
  <si>
    <t>Nhu PQ - Trả tiền cá</t>
  </si>
  <si>
    <t>6 Nhầm - Trả tiền cá</t>
  </si>
  <si>
    <t>6 Nhầm</t>
  </si>
  <si>
    <t>7 Nghĩa - Trả tiền cá</t>
  </si>
  <si>
    <t>Trí Hảo - Trả tiền cá</t>
  </si>
  <si>
    <t>Thanh Mũi Né - Trả tiền cá</t>
  </si>
  <si>
    <t>Nga HT</t>
  </si>
  <si>
    <t>Giàu VT - Trả tiền cá</t>
  </si>
  <si>
    <t>T22</t>
  </si>
  <si>
    <t>T23</t>
  </si>
  <si>
    <t>T24</t>
  </si>
  <si>
    <t>T25</t>
  </si>
  <si>
    <t>Ngân (Dì 3)</t>
  </si>
  <si>
    <t>1121</t>
  </si>
  <si>
    <t>Hoàng (PCCC - TN)</t>
  </si>
  <si>
    <t>M.E</t>
  </si>
  <si>
    <t>Nghĩa Thành Công</t>
  </si>
  <si>
    <t>Tân Gia Nguyên</t>
  </si>
  <si>
    <t>Mén (A. Cường)</t>
  </si>
  <si>
    <t>131</t>
  </si>
  <si>
    <t>Công Đoàn</t>
  </si>
  <si>
    <t>141</t>
  </si>
  <si>
    <t>Cô Phương (C. Duy)</t>
  </si>
  <si>
    <t>Cô Liêng Nghĩa</t>
  </si>
  <si>
    <t>Cô Thuỳ (C. Duy)</t>
  </si>
  <si>
    <t>Khanh (A Hai)</t>
  </si>
  <si>
    <t>bạn Cô</t>
  </si>
  <si>
    <t>Huy (Ngân - Dì 3)</t>
  </si>
  <si>
    <t>Kim Cương</t>
  </si>
  <si>
    <t>Thủy KG</t>
  </si>
  <si>
    <t>Tấn TG</t>
  </si>
  <si>
    <t>Danh HT</t>
  </si>
  <si>
    <t>Hải Thủy</t>
  </si>
  <si>
    <t>Phí chuyển tiền</t>
  </si>
  <si>
    <t>642</t>
  </si>
  <si>
    <t xml:space="preserve">Trả tiền lãi </t>
  </si>
  <si>
    <t>Phát (Mè Đường)</t>
  </si>
  <si>
    <t>Khang Thịnh Phước</t>
  </si>
  <si>
    <t>Tiền hàng</t>
  </si>
  <si>
    <t>Dì 3</t>
  </si>
  <si>
    <t>Cẩm</t>
  </si>
  <si>
    <t>Trung Quốc</t>
  </si>
  <si>
    <t>Nguyệt Minh</t>
  </si>
  <si>
    <t>C. Duyệt</t>
  </si>
  <si>
    <t>Hiệp Phong</t>
  </si>
  <si>
    <t>Hằng (A.Thắng)</t>
  </si>
  <si>
    <t>C. Cẩm</t>
  </si>
  <si>
    <t>Út Thái</t>
  </si>
  <si>
    <t>Chỉ mặn A</t>
  </si>
  <si>
    <t>Chỉ tẩm mặn</t>
  </si>
  <si>
    <t>Ngân mặn</t>
  </si>
  <si>
    <t>Ngân mặn dạt</t>
  </si>
  <si>
    <t>1521</t>
  </si>
  <si>
    <t>Trả lại Ngân mặn</t>
  </si>
  <si>
    <t>GC cá bò đông</t>
  </si>
  <si>
    <t>Cơm cắt</t>
  </si>
  <si>
    <t>Bán cá đục</t>
  </si>
  <si>
    <t>trừ giá cấp đông</t>
  </si>
  <si>
    <t>Cơm xô</t>
  </si>
  <si>
    <t>Cơm ko đầu</t>
  </si>
  <si>
    <t>Ngân NL</t>
  </si>
  <si>
    <t>Ngân dạt</t>
  </si>
  <si>
    <t>Cơm ko đầu dạt</t>
  </si>
  <si>
    <t>AL</t>
  </si>
  <si>
    <t>Chỉ A</t>
  </si>
  <si>
    <t>Hết nợ</t>
  </si>
  <si>
    <t>711</t>
  </si>
  <si>
    <t>Mai cắt đầu</t>
  </si>
  <si>
    <t>Mai xẻ</t>
  </si>
  <si>
    <t>Đổng file</t>
  </si>
  <si>
    <t>Chỉ file</t>
  </si>
  <si>
    <t>Đù file</t>
  </si>
  <si>
    <t>Đù file (xương)</t>
  </si>
  <si>
    <t>Đổng NL</t>
  </si>
  <si>
    <t>Đù file (1 dao)</t>
  </si>
  <si>
    <t>Đù NL</t>
  </si>
  <si>
    <t>Ghẹ NL</t>
  </si>
  <si>
    <t>Trả TM - tiền 8</t>
  </si>
  <si>
    <t>Chỉ NL</t>
  </si>
  <si>
    <t>Bò NL (lai)</t>
  </si>
  <si>
    <t>Hảo VT</t>
  </si>
  <si>
    <t>Chỉ NL (X)</t>
  </si>
  <si>
    <t>Đục NL</t>
  </si>
  <si>
    <t>Bù giá</t>
  </si>
  <si>
    <t>Trả tiền cá ngừ</t>
  </si>
  <si>
    <t>Chai file</t>
  </si>
  <si>
    <t>Xuân VT</t>
  </si>
  <si>
    <t>Đức VT</t>
  </si>
  <si>
    <t>Chi phí &amp; tiền xe</t>
  </si>
  <si>
    <t>Hùng VT</t>
  </si>
  <si>
    <t>Cá Ngừ</t>
  </si>
  <si>
    <t>Thùng thái</t>
  </si>
  <si>
    <t>Đù lạ</t>
  </si>
  <si>
    <t>Lò cò</t>
  </si>
  <si>
    <t>Bò file</t>
  </si>
  <si>
    <t>Bò VN (c/đầu)</t>
  </si>
  <si>
    <t>Đuối</t>
  </si>
  <si>
    <t>Bò lai</t>
  </si>
  <si>
    <t>Bò VN</t>
  </si>
  <si>
    <t>Hàng hư</t>
  </si>
  <si>
    <t xml:space="preserve">Chai file </t>
  </si>
  <si>
    <t>Mực ống</t>
  </si>
  <si>
    <t>Chi NL lớn</t>
  </si>
  <si>
    <t>Chi NL trung</t>
  </si>
  <si>
    <t>Bò VN NL</t>
  </si>
  <si>
    <t>Bò lai NL</t>
  </si>
  <si>
    <t>Bò NL</t>
  </si>
  <si>
    <t>Đục NL xấu</t>
  </si>
  <si>
    <t>Mai NL</t>
  </si>
  <si>
    <t>Chỉ NL nhỏ</t>
  </si>
  <si>
    <t>Chỉ NL trung</t>
  </si>
  <si>
    <t>Bò Vn file</t>
  </si>
  <si>
    <t>sorbitol</t>
  </si>
  <si>
    <t>Bò Vn c/đầu</t>
  </si>
  <si>
    <t>Bò lai c/đầu</t>
  </si>
  <si>
    <t>Bò lai file</t>
  </si>
  <si>
    <t>Giảm giá</t>
  </si>
  <si>
    <t>Chai file tẩm</t>
  </si>
  <si>
    <t>Bò VN file</t>
  </si>
  <si>
    <t>Bò ghép (2S)</t>
  </si>
  <si>
    <t>Bò ghép (5S)</t>
  </si>
  <si>
    <t>Bò ghép (2L)</t>
  </si>
  <si>
    <t>Bò ghép (14x30)</t>
  </si>
  <si>
    <t>Bò c/đầu</t>
  </si>
  <si>
    <t>Trả lại bò ghép (2L)</t>
  </si>
  <si>
    <t>Tiền lưới</t>
  </si>
  <si>
    <t>Cá bò N</t>
  </si>
  <si>
    <t>Tiền cá NL</t>
  </si>
  <si>
    <t>Thanh tian1 tiền cá</t>
  </si>
  <si>
    <t>Chai ghép</t>
  </si>
  <si>
    <t>Chai file tẩm xấu</t>
  </si>
  <si>
    <t>Lạt NL</t>
  </si>
  <si>
    <t>Cá tạp</t>
  </si>
  <si>
    <t>Bống NL</t>
  </si>
  <si>
    <t>Công phơi</t>
  </si>
  <si>
    <t>làm sạch</t>
  </si>
  <si>
    <t>Nga MS</t>
  </si>
  <si>
    <t>Sách VT</t>
  </si>
  <si>
    <t>Bò VN 5S</t>
  </si>
  <si>
    <t>Bò VN 2.5L</t>
  </si>
  <si>
    <t>Bò lai 5S</t>
  </si>
  <si>
    <t xml:space="preserve">Tiền NL </t>
  </si>
  <si>
    <t>Mai tẩm</t>
  </si>
  <si>
    <t>Cá lãi</t>
  </si>
  <si>
    <t>Bò lai 2L</t>
  </si>
  <si>
    <t>Bò lai 2S</t>
  </si>
  <si>
    <t>Bò lai 2S B</t>
  </si>
  <si>
    <t>Cá mai</t>
  </si>
  <si>
    <t>Hoàng</t>
  </si>
  <si>
    <t>Cá Chai 15-28</t>
  </si>
  <si>
    <t>Cá chai 15-28 A</t>
  </si>
  <si>
    <t>Cá chai 15-28 B</t>
  </si>
  <si>
    <t>Cá chai 15-28 C</t>
  </si>
  <si>
    <t>Cá Chai 16-30</t>
  </si>
  <si>
    <t>Cá chai 16-30</t>
  </si>
  <si>
    <t>Trừ hàng dạt</t>
  </si>
  <si>
    <t>Trừ vành</t>
  </si>
  <si>
    <t xml:space="preserve">Tiền xe chở 6230 kg Nguyên liệu </t>
  </si>
  <si>
    <t>Tiền xe gửi Tuy Hoà -&gt; Bến xe miền Đông</t>
  </si>
  <si>
    <t>Mua đá ướp ca</t>
  </si>
  <si>
    <t>Muối cá</t>
  </si>
  <si>
    <t>811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</si>
  <si>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</si>
  <si>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</si>
  <si>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</si>
  <si>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</si>
  <si>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</si>
  <si>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</si>
  <si>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</si>
  <si>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</si>
  <si>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</si>
  <si>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</si>
  <si>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</si>
  <si>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</si>
  <si>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Cá Mai FL</t>
  </si>
  <si>
    <t>Chỉ Nl</t>
  </si>
  <si>
    <t>Cá Chai fl tẩm HQ</t>
  </si>
  <si>
    <t>Tôm sắt FL</t>
  </si>
  <si>
    <t>Việt - VL</t>
  </si>
  <si>
    <t>Huyền CG</t>
  </si>
  <si>
    <t>Bò ghép (M3)</t>
  </si>
  <si>
    <t>Bò ghép (M)</t>
  </si>
  <si>
    <t>C143</t>
  </si>
  <si>
    <t>C144</t>
  </si>
  <si>
    <t>C145</t>
  </si>
  <si>
    <t>C146</t>
  </si>
  <si>
    <t>C147</t>
  </si>
  <si>
    <t>Bồi dưỡng KT</t>
  </si>
  <si>
    <t>Chi phí C Duy</t>
  </si>
  <si>
    <t>Tiền lãi vay</t>
  </si>
  <si>
    <t>Thu tiền Pvcombank</t>
  </si>
  <si>
    <t>Chi phí đám dổ</t>
  </si>
  <si>
    <t>Thay nhớt xe 51A-14174</t>
  </si>
  <si>
    <t>Mực làm mẫu</t>
  </si>
  <si>
    <t>Mua dđồ cúng</t>
  </si>
  <si>
    <t>Nộp Q4 trà vinh</t>
  </si>
  <si>
    <t>Thu t/ứng PC: 115 ngày 20/10</t>
  </si>
  <si>
    <t>Mua gas kho lạnh</t>
  </si>
  <si>
    <t>Thu t/ứng PC: 06 ngày 1/10</t>
  </si>
  <si>
    <t>Bảo dưởng xe 51A-14174</t>
  </si>
  <si>
    <t>Phí giao thông 2 xe</t>
  </si>
  <si>
    <t>Thu ngân hàng Q11</t>
  </si>
  <si>
    <t>Chi Trà Vinh</t>
  </si>
  <si>
    <t>Minh</t>
  </si>
  <si>
    <t>Tiền bột &amp; soda</t>
  </si>
  <si>
    <t>tiền cơm 7.8.9</t>
  </si>
  <si>
    <t>Hoa hống APT</t>
  </si>
  <si>
    <t>Chi phí chú Duy</t>
  </si>
  <si>
    <t>Tiền nhãn Tân Minh Thư</t>
  </si>
  <si>
    <t>Đặt cọc lịch</t>
  </si>
  <si>
    <t>Tiền Khánh Trân</t>
  </si>
  <si>
    <t>Thiền chợ</t>
  </si>
  <si>
    <t>Thái</t>
  </si>
  <si>
    <t>Mua cân điện tử</t>
  </si>
  <si>
    <t>t/ứng lương</t>
  </si>
  <si>
    <t>C. Phương</t>
  </si>
  <si>
    <t>Huy</t>
  </si>
  <si>
    <t>Tiền đt T9&amp;10 ( C.8)</t>
  </si>
  <si>
    <t>Tiền d8t t10 (C.Duy)</t>
  </si>
  <si>
    <t>T/u7ng mua dien tu</t>
  </si>
  <si>
    <t>Thu t/ung PC 11 thang 11</t>
  </si>
  <si>
    <t>T/uứng chi phí xưởng</t>
  </si>
  <si>
    <t>Mua thức ăn cá</t>
  </si>
  <si>
    <t>Tiền dđt (A.Cường)</t>
  </si>
  <si>
    <t>t/ứng mua dt</t>
  </si>
  <si>
    <t>Nộp TK( cô chú thu)</t>
  </si>
  <si>
    <t>Chi Nafi</t>
  </si>
  <si>
    <t>Thu t/uứng PC: 140 ngày 27/10</t>
  </si>
  <si>
    <t>Quấn motour</t>
  </si>
  <si>
    <t>Thu tiền phế liệu - A Hùng</t>
  </si>
  <si>
    <t>Mua PP đựng phế liệu</t>
  </si>
  <si>
    <t>Thu NH Pvcombank</t>
  </si>
  <si>
    <t xml:space="preserve">Trả tiền cá </t>
  </si>
  <si>
    <t>Trả tiền - Trung Quốc</t>
  </si>
  <si>
    <t xml:space="preserve">Mua bánh xe nâng </t>
  </si>
  <si>
    <t>Tiền đám tang mẹ Sơn Thên</t>
  </si>
  <si>
    <t>Thu t/ứng PC:50 ngày 8/11</t>
  </si>
  <si>
    <t>Mua đt cô</t>
  </si>
  <si>
    <t>Mua băng keo Khang Thịnh Phước</t>
  </si>
  <si>
    <t>T/ứng mua Blook máy</t>
  </si>
  <si>
    <t xml:space="preserve">Tiền mực </t>
  </si>
  <si>
    <t>Tiền hụi - Chị Cẩm</t>
  </si>
  <si>
    <t>Tiền cá Bò</t>
  </si>
  <si>
    <t>Tiền xe chở Blook máy</t>
  </si>
  <si>
    <t>Chi phí - C Duy</t>
  </si>
  <si>
    <t>Mua gas kho lanh5</t>
  </si>
  <si>
    <t>Thu t/ứng PC: 62 ngày 10/10</t>
  </si>
  <si>
    <t>Thu t/ứng PC: 123 ngày 22/10</t>
  </si>
  <si>
    <t>Chi phí tiền tàu</t>
  </si>
  <si>
    <t>Mua đồ cúng 15/10 Al</t>
  </si>
  <si>
    <t>Mua đồ cùng xưởng</t>
  </si>
  <si>
    <t>Tiền phí lưu kho</t>
  </si>
  <si>
    <t>T/ứng chi phí xuất hàng</t>
  </si>
  <si>
    <t>Tiền phí bảo vệ T10/16</t>
  </si>
  <si>
    <t>BẢNG THEO DÕI KIỂM TRA THIẾT BỊ - NĂM …………</t>
  </si>
  <si>
    <t>GHI CHÚ</t>
  </si>
  <si>
    <t xml:space="preserve">                            THÁNG
   THIẾT BỊ</t>
  </si>
  <si>
    <t>MÁY CÁN HÀN QUỐC</t>
  </si>
  <si>
    <t>MÁY CẮT</t>
  </si>
  <si>
    <t>MÁY SUDARE</t>
  </si>
  <si>
    <t>MÁY XÉ MỰC (1)</t>
  </si>
  <si>
    <t>MÁY XÉ MỰC (2)</t>
  </si>
  <si>
    <t>MÁY XÉ MỰC (3)</t>
  </si>
  <si>
    <t>MÁY CÁN MỰC
 (10 TRỤC)</t>
  </si>
  <si>
    <t>MÁY XÉ MỰC NHẬT</t>
  </si>
  <si>
    <t>MÁY NƯỚNG (1) ĐÀI LOAN</t>
  </si>
  <si>
    <t>MÁY NƯỚNG (2) NHẬT</t>
  </si>
  <si>
    <t>MÁY CHIẾU UV</t>
  </si>
  <si>
    <t>TỦ SẤY (1)</t>
  </si>
  <si>
    <t>TỦ SẤY (2)</t>
  </si>
  <si>
    <t>TỦ SẤY (3)</t>
  </si>
  <si>
    <t>TỦ SẤY (4)</t>
  </si>
  <si>
    <t>MÁY TRỘN</t>
  </si>
  <si>
    <t>Chai FL</t>
  </si>
  <si>
    <t>Bò NL VN</t>
  </si>
  <si>
    <t>Giàu -VT</t>
  </si>
  <si>
    <t>Nộp tiền Q4 Trà Vinh</t>
  </si>
  <si>
    <t>Chi kiểm Nafi</t>
  </si>
  <si>
    <t>Mua bột nổi (Hớn Phong)</t>
  </si>
  <si>
    <t>Chi mua mực làm mẫu</t>
  </si>
  <si>
    <t>Chi phí - A.Duy</t>
  </si>
  <si>
    <t>T/ứng mua phim lọc (Hiền)</t>
  </si>
  <si>
    <t>Chi tiền trà Vinh</t>
  </si>
  <si>
    <t>Nộp thuế GTGT bột</t>
  </si>
  <si>
    <t>Mua máy xay đa năng</t>
  </si>
  <si>
    <t>Chi tiền Trung Quốc</t>
  </si>
  <si>
    <t>Thu t./ứng PC:66 ngày 11/11</t>
  </si>
  <si>
    <t>Mua blook máy kho lạnh TV</t>
  </si>
  <si>
    <t>Chi lương T10/16</t>
  </si>
  <si>
    <t>Bồi dưỡng cây kiểng</t>
  </si>
  <si>
    <t>Chi phí Trà Vinh C.Duy</t>
  </si>
  <si>
    <t>Thu tiền C. Nguyệt</t>
  </si>
  <si>
    <t>Thu tiền Phán VT</t>
  </si>
  <si>
    <t>Thu tiền C.8</t>
  </si>
  <si>
    <t>Chi tiền Trà Vinh</t>
  </si>
  <si>
    <t>Chi phí 8</t>
  </si>
  <si>
    <t>Tiền điện thoại C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</si>
</sst>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6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sz val="12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9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43" fontId="37" fillId="0" borderId="0" applyFont="0" applyFill="0" applyBorder="0" applyAlignment="0" applyProtection="0"/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04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4" applyFont="1" applyFill="1" applyAlignment="1">
      <alignment horizontal="left" vertical="center"/>
    </xf>
    <xf numFmtId="0" fontId="39" fillId="0" borderId="0" xfId="74" applyFont="1" applyFill="1" applyAlignment="1">
      <alignment horizontal="center" vertical="center" wrapText="1"/>
    </xf>
    <xf numFmtId="0" fontId="39" fillId="0" borderId="0" xfId="74" applyFont="1" applyFill="1" applyAlignment="1">
      <alignment vertical="center" wrapText="1"/>
    </xf>
    <xf numFmtId="1" fontId="34" fillId="0" borderId="0" xfId="74" applyNumberFormat="1" applyFont="1" applyFill="1" applyAlignment="1">
      <alignment horizontal="center" vertical="center"/>
    </xf>
    <xf numFmtId="1" fontId="34" fillId="0" borderId="0" xfId="74" applyNumberFormat="1" applyFont="1" applyFill="1" applyAlignment="1">
      <alignment horizontal="center" vertical="center" wrapText="1"/>
    </xf>
    <xf numFmtId="0" fontId="34" fillId="0" borderId="16" xfId="75" applyNumberFormat="1" applyFont="1" applyFill="1" applyBorder="1" applyAlignment="1">
      <alignment horizontal="center" vertical="center"/>
    </xf>
    <xf numFmtId="14" fontId="34" fillId="0" borderId="16" xfId="74" applyNumberFormat="1" applyFont="1" applyFill="1" applyBorder="1" applyAlignment="1">
      <alignment horizontal="center" vertical="center"/>
    </xf>
    <xf numFmtId="164" fontId="34" fillId="0" borderId="16" xfId="75" applyNumberFormat="1" applyFont="1" applyFill="1" applyBorder="1" applyAlignment="1">
      <alignment vertical="center"/>
    </xf>
    <xf numFmtId="0" fontId="34" fillId="0" borderId="16" xfId="74" quotePrefix="1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horizontal="left" vertical="center"/>
    </xf>
    <xf numFmtId="0" fontId="34" fillId="0" borderId="0" xfId="74" applyFont="1" applyFill="1" applyAlignment="1">
      <alignment horizontal="center" vertical="center" wrapText="1"/>
    </xf>
    <xf numFmtId="0" fontId="34" fillId="0" borderId="0" xfId="74" applyFont="1" applyFill="1" applyAlignment="1">
      <alignment horizontal="center" vertical="center"/>
    </xf>
    <xf numFmtId="49" fontId="34" fillId="0" borderId="0" xfId="74" applyNumberFormat="1" applyFont="1" applyFill="1" applyAlignment="1">
      <alignment horizontal="center" vertical="center"/>
    </xf>
    <xf numFmtId="49" fontId="34" fillId="0" borderId="16" xfId="74" applyNumberFormat="1" applyFont="1" applyFill="1" applyBorder="1" applyAlignment="1">
      <alignment horizontal="left" vertical="center"/>
    </xf>
    <xf numFmtId="49" fontId="34" fillId="0" borderId="16" xfId="74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3" fillId="0" borderId="16" xfId="74" quotePrefix="1" applyNumberFormat="1" applyFont="1" applyFill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4" applyNumberFormat="1" applyFont="1" applyFill="1" applyAlignment="1">
      <alignment vertical="center"/>
    </xf>
    <xf numFmtId="49" fontId="39" fillId="0" borderId="0" xfId="74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5" applyFont="1" applyFill="1" applyBorder="1" applyAlignment="1" applyProtection="1">
      <alignment horizontal="left" vertical="center"/>
      <protection hidden="1"/>
    </xf>
    <xf numFmtId="0" fontId="35" fillId="0" borderId="0" xfId="75" applyFont="1" applyFill="1" applyBorder="1" applyAlignment="1" applyProtection="1">
      <alignment horizontal="justify" vertical="center"/>
      <protection hidden="1"/>
    </xf>
    <xf numFmtId="0" fontId="33" fillId="0" borderId="0" xfId="75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vertical="center"/>
      <protection hidden="1"/>
    </xf>
    <xf numFmtId="0" fontId="45" fillId="0" borderId="0" xfId="75" applyFont="1" applyFill="1" applyBorder="1" applyAlignment="1" applyProtection="1">
      <alignment horizontal="center" vertical="center"/>
      <protection hidden="1"/>
    </xf>
    <xf numFmtId="0" fontId="45" fillId="0" borderId="0" xfId="75" applyFont="1" applyFill="1" applyBorder="1" applyAlignment="1" applyProtection="1">
      <alignment vertical="center"/>
      <protection hidden="1"/>
    </xf>
    <xf numFmtId="0" fontId="33" fillId="0" borderId="0" xfId="77" applyNumberFormat="1" applyFont="1" applyFill="1" applyBorder="1" applyAlignment="1" applyProtection="1">
      <alignment horizontal="center" vertical="center"/>
      <protection hidden="1"/>
    </xf>
    <xf numFmtId="0" fontId="47" fillId="0" borderId="0" xfId="75" applyFont="1" applyFill="1" applyBorder="1" applyAlignment="1" applyProtection="1">
      <alignment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14" fontId="33" fillId="0" borderId="0" xfId="75" applyNumberFormat="1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horizontal="left" vertical="center"/>
      <protection hidden="1"/>
    </xf>
    <xf numFmtId="0" fontId="35" fillId="0" borderId="0" xfId="78" applyFont="1" applyAlignment="1" applyProtection="1">
      <alignment horizontal="center"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0" fontId="50" fillId="0" borderId="0" xfId="75" applyFont="1" applyFill="1" applyBorder="1" applyAlignment="1" applyProtection="1">
      <alignment vertical="center"/>
      <protection hidden="1"/>
    </xf>
    <xf numFmtId="0" fontId="40" fillId="0" borderId="0" xfId="78" applyFont="1" applyAlignment="1" applyProtection="1">
      <alignment horizontal="center"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71" fontId="51" fillId="0" borderId="0" xfId="75" applyNumberFormat="1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horizontal="center" vertical="center"/>
      <protection hidden="1"/>
    </xf>
    <xf numFmtId="0" fontId="49" fillId="0" borderId="0" xfId="75" applyFont="1" applyFill="1" applyBorder="1" applyAlignment="1" applyProtection="1">
      <alignment horizontal="center" vertical="center"/>
      <protection hidden="1"/>
    </xf>
    <xf numFmtId="10" fontId="53" fillId="0" borderId="0" xfId="79" applyNumberFormat="1" applyFont="1" applyFill="1" applyBorder="1" applyAlignment="1" applyProtection="1">
      <alignment horizontal="center" vertical="center"/>
      <protection hidden="1"/>
    </xf>
    <xf numFmtId="0" fontId="33" fillId="0" borderId="0" xfId="75" applyFont="1" applyFill="1" applyBorder="1" applyAlignment="1" applyProtection="1">
      <alignment vertical="center"/>
      <protection locked="0" hidden="1"/>
    </xf>
    <xf numFmtId="0" fontId="34" fillId="0" borderId="0" xfId="78" applyFont="1" applyAlignment="1" applyProtection="1">
      <alignment horizontal="center" vertical="center"/>
      <protection hidden="1"/>
    </xf>
    <xf numFmtId="0" fontId="54" fillId="0" borderId="0" xfId="75" applyFont="1" applyFill="1" applyBorder="1" applyAlignment="1" applyProtection="1">
      <alignment horizontal="left" vertical="center"/>
      <protection hidden="1"/>
    </xf>
    <xf numFmtId="0" fontId="54" fillId="0" borderId="0" xfId="75" applyFont="1" applyFill="1" applyBorder="1" applyAlignment="1" applyProtection="1">
      <alignment horizontal="justify" vertical="center"/>
      <protection hidden="1"/>
    </xf>
    <xf numFmtId="0" fontId="54" fillId="0" borderId="0" xfId="75" applyFont="1" applyFill="1" applyBorder="1" applyAlignment="1" applyProtection="1">
      <alignment vertical="center"/>
      <protection hidden="1"/>
    </xf>
    <xf numFmtId="171" fontId="55" fillId="0" borderId="0" xfId="75" applyNumberFormat="1" applyFont="1" applyFill="1" applyBorder="1" applyAlignment="1" applyProtection="1">
      <alignment vertical="center"/>
      <protection hidden="1"/>
    </xf>
    <xf numFmtId="0" fontId="39" fillId="0" borderId="0" xfId="75" applyFont="1" applyFill="1" applyBorder="1" applyAlignment="1" applyProtection="1">
      <alignment vertical="center"/>
      <protection hidden="1"/>
    </xf>
    <xf numFmtId="164" fontId="54" fillId="0" borderId="0" xfId="73" applyNumberFormat="1" applyFont="1" applyFill="1" applyBorder="1" applyAlignment="1" applyProtection="1">
      <alignment vertical="center"/>
      <protection hidden="1"/>
    </xf>
    <xf numFmtId="10" fontId="54" fillId="0" borderId="0" xfId="77" applyNumberFormat="1" applyFont="1" applyFill="1" applyBorder="1" applyAlignment="1" applyProtection="1">
      <alignment vertical="center"/>
      <protection hidden="1"/>
    </xf>
    <xf numFmtId="49" fontId="56" fillId="0" borderId="0" xfId="75" applyNumberFormat="1" applyFont="1" applyFill="1" applyBorder="1" applyAlignment="1" applyProtection="1">
      <alignment vertical="center"/>
      <protection hidden="1"/>
    </xf>
    <xf numFmtId="0" fontId="39" fillId="0" borderId="0" xfId="75" applyFont="1" applyFill="1" applyBorder="1" applyAlignment="1" applyProtection="1">
      <alignment horizontal="left" vertical="center"/>
      <protection hidden="1"/>
    </xf>
    <xf numFmtId="0" fontId="56" fillId="0" borderId="0" xfId="75" applyNumberFormat="1" applyFont="1" applyFill="1" applyBorder="1" applyAlignment="1" applyProtection="1">
      <alignment vertical="center"/>
      <protection hidden="1"/>
    </xf>
    <xf numFmtId="0" fontId="56" fillId="0" borderId="0" xfId="75" applyFont="1" applyFill="1" applyBorder="1" applyAlignment="1" applyProtection="1">
      <alignment horizontal="left" vertical="center"/>
      <protection hidden="1"/>
    </xf>
    <xf numFmtId="0" fontId="56" fillId="0" borderId="0" xfId="75" applyNumberFormat="1" applyFont="1" applyFill="1" applyBorder="1" applyAlignment="1" applyProtection="1">
      <alignment horizontal="left" vertical="center"/>
      <protection hidden="1"/>
    </xf>
    <xf numFmtId="10" fontId="54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5" applyFont="1" applyFill="1" applyBorder="1" applyAlignment="1" applyProtection="1">
      <alignment horizontal="left" vertical="center"/>
      <protection hidden="1"/>
    </xf>
    <xf numFmtId="10" fontId="33" fillId="0" borderId="0" xfId="75" applyNumberFormat="1" applyFont="1" applyFill="1" applyBorder="1" applyAlignment="1" applyProtection="1">
      <alignment vertical="center"/>
      <protection hidden="1"/>
    </xf>
    <xf numFmtId="164" fontId="36" fillId="0" borderId="0" xfId="73" applyNumberFormat="1" applyFont="1" applyFill="1" applyBorder="1" applyAlignment="1" applyProtection="1">
      <alignment vertical="center"/>
      <protection hidden="1"/>
    </xf>
    <xf numFmtId="37" fontId="33" fillId="0" borderId="0" xfId="77" applyNumberFormat="1" applyFont="1" applyFill="1" applyBorder="1" applyAlignment="1" applyProtection="1">
      <alignment vertical="center"/>
      <protection hidden="1"/>
    </xf>
    <xf numFmtId="172" fontId="51" fillId="0" borderId="0" xfId="75" applyNumberFormat="1" applyFont="1" applyFill="1" applyBorder="1" applyAlignment="1" applyProtection="1">
      <alignment vertical="center"/>
      <protection hidden="1"/>
    </xf>
    <xf numFmtId="0" fontId="36" fillId="0" borderId="0" xfId="75" applyFont="1" applyFill="1" applyBorder="1" applyAlignment="1" applyProtection="1">
      <alignment horizontal="center" vertical="center"/>
      <protection hidden="1"/>
    </xf>
    <xf numFmtId="0" fontId="36" fillId="0" borderId="0" xfId="75" applyFont="1" applyFill="1" applyBorder="1" applyAlignment="1" applyProtection="1">
      <alignment vertical="center"/>
      <protection hidden="1"/>
    </xf>
    <xf numFmtId="172" fontId="36" fillId="0" borderId="0" xfId="75" applyNumberFormat="1" applyFont="1" applyFill="1" applyBorder="1" applyAlignment="1" applyProtection="1">
      <alignment horizontal="center" vertical="center"/>
      <protection hidden="1"/>
    </xf>
    <xf numFmtId="172" fontId="36" fillId="0" borderId="0" xfId="75" applyNumberFormat="1" applyFont="1" applyFill="1" applyBorder="1" applyAlignment="1" applyProtection="1">
      <alignment vertical="center"/>
      <protection hidden="1"/>
    </xf>
    <xf numFmtId="0" fontId="33" fillId="0" borderId="0" xfId="75" applyFont="1" applyFill="1" applyBorder="1" applyAlignment="1" applyProtection="1">
      <alignment horizontal="center" vertical="center"/>
      <protection hidden="1"/>
    </xf>
    <xf numFmtId="0" fontId="37" fillId="0" borderId="0" xfId="75"/>
    <xf numFmtId="0" fontId="40" fillId="0" borderId="0" xfId="75" applyFont="1" applyFill="1" applyBorder="1" applyAlignment="1" applyProtection="1">
      <alignment vertical="center"/>
      <protection locked="0" hidden="1"/>
    </xf>
    <xf numFmtId="172" fontId="55" fillId="0" borderId="0" xfId="75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5" applyNumberFormat="1" applyFont="1" applyAlignment="1">
      <alignment vertical="center"/>
    </xf>
    <xf numFmtId="164" fontId="33" fillId="0" borderId="0" xfId="75" applyNumberFormat="1" applyFont="1" applyAlignment="1">
      <alignment horizontal="left" vertical="center"/>
    </xf>
    <xf numFmtId="164" fontId="33" fillId="0" borderId="2" xfId="75" applyNumberFormat="1" applyFont="1" applyBorder="1" applyAlignment="1">
      <alignment horizontal="center" vertical="center" wrapText="1"/>
    </xf>
    <xf numFmtId="164" fontId="35" fillId="0" borderId="0" xfId="75" applyNumberFormat="1" applyFont="1" applyAlignment="1">
      <alignment vertical="center"/>
    </xf>
    <xf numFmtId="164" fontId="35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1" xfId="75" applyNumberFormat="1" applyFont="1" applyBorder="1" applyAlignment="1">
      <alignment vertical="center" wrapText="1"/>
    </xf>
    <xf numFmtId="49" fontId="36" fillId="0" borderId="21" xfId="75" applyNumberFormat="1" applyFont="1" applyBorder="1" applyAlignment="1">
      <alignment vertical="center" wrapText="1"/>
    </xf>
    <xf numFmtId="164" fontId="36" fillId="0" borderId="21" xfId="75" applyNumberFormat="1" applyFont="1" applyBorder="1" applyAlignment="1">
      <alignment horizontal="left" vertical="center" wrapText="1"/>
    </xf>
    <xf numFmtId="14" fontId="33" fillId="0" borderId="16" xfId="75" applyNumberFormat="1" applyFont="1" applyBorder="1" applyAlignment="1">
      <alignment horizontal="center" vertical="center" wrapText="1"/>
    </xf>
    <xf numFmtId="164" fontId="33" fillId="0" borderId="16" xfId="75" applyNumberFormat="1" applyFont="1" applyBorder="1" applyAlignment="1">
      <alignment horizontal="center" vertical="center" wrapText="1"/>
    </xf>
    <xf numFmtId="164" fontId="33" fillId="0" borderId="16" xfId="75" applyNumberFormat="1" applyFont="1" applyBorder="1" applyAlignment="1">
      <alignment horizontal="center" vertical="center"/>
    </xf>
    <xf numFmtId="164" fontId="33" fillId="0" borderId="16" xfId="75" applyNumberFormat="1" applyFont="1" applyBorder="1" applyAlignment="1">
      <alignment horizontal="left" vertical="center" wrapText="1"/>
    </xf>
    <xf numFmtId="164" fontId="33" fillId="0" borderId="16" xfId="75" quotePrefix="1" applyNumberFormat="1" applyFont="1" applyBorder="1" applyAlignment="1">
      <alignment horizontal="center" vertical="center" wrapText="1"/>
    </xf>
    <xf numFmtId="164" fontId="33" fillId="0" borderId="16" xfId="73" applyNumberFormat="1" applyFont="1" applyBorder="1" applyAlignment="1">
      <alignment horizontal="left" vertical="center" wrapText="1"/>
    </xf>
    <xf numFmtId="164" fontId="33" fillId="0" borderId="16" xfId="75" applyNumberFormat="1" applyFont="1" applyBorder="1" applyAlignment="1">
      <alignment vertical="center" wrapText="1"/>
    </xf>
    <xf numFmtId="14" fontId="33" fillId="0" borderId="16" xfId="75" applyNumberFormat="1" applyFont="1" applyBorder="1" applyAlignment="1">
      <alignment vertical="center" wrapText="1"/>
    </xf>
    <xf numFmtId="49" fontId="58" fillId="0" borderId="16" xfId="73" applyNumberFormat="1" applyFont="1" applyBorder="1" applyAlignment="1">
      <alignment horizontal="center"/>
    </xf>
    <xf numFmtId="164" fontId="36" fillId="0" borderId="16" xfId="75" applyNumberFormat="1" applyFont="1" applyBorder="1" applyAlignment="1">
      <alignment vertical="center" wrapText="1"/>
    </xf>
    <xf numFmtId="164" fontId="36" fillId="0" borderId="16" xfId="75" applyNumberFormat="1" applyFont="1" applyBorder="1" applyAlignment="1">
      <alignment horizontal="center" vertical="center" wrapText="1"/>
    </xf>
    <xf numFmtId="164" fontId="36" fillId="0" borderId="19" xfId="75" applyNumberFormat="1" applyFont="1" applyBorder="1" applyAlignment="1">
      <alignment vertical="center" wrapText="1"/>
    </xf>
    <xf numFmtId="164" fontId="36" fillId="0" borderId="19" xfId="75" applyNumberFormat="1" applyFont="1" applyBorder="1" applyAlignment="1">
      <alignment horizontal="center" vertical="center" wrapText="1"/>
    </xf>
    <xf numFmtId="164" fontId="33" fillId="0" borderId="19" xfId="75" applyNumberFormat="1" applyFont="1" applyBorder="1" applyAlignment="1">
      <alignment vertical="center" wrapText="1"/>
    </xf>
    <xf numFmtId="164" fontId="33" fillId="0" borderId="0" xfId="75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5" applyFont="1" applyFill="1" applyBorder="1" applyAlignment="1" applyProtection="1">
      <alignment horizontal="left" vertical="center"/>
      <protection hidden="1"/>
    </xf>
    <xf numFmtId="164" fontId="36" fillId="0" borderId="0" xfId="75" applyNumberFormat="1" applyFont="1" applyAlignment="1">
      <alignment horizontal="center" vertical="center"/>
    </xf>
    <xf numFmtId="164" fontId="36" fillId="0" borderId="21" xfId="73" applyNumberFormat="1" applyFont="1" applyBorder="1" applyAlignment="1">
      <alignment horizontal="right" vertical="center" wrapText="1"/>
    </xf>
    <xf numFmtId="164" fontId="59" fillId="25" borderId="28" xfId="75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5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3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Alignment="1">
      <alignment horizontal="center" vertical="center"/>
    </xf>
    <xf numFmtId="14" fontId="34" fillId="0" borderId="16" xfId="88" applyNumberFormat="1" applyFont="1" applyFill="1" applyBorder="1" applyAlignment="1">
      <alignment horizontal="center" vertical="center"/>
    </xf>
    <xf numFmtId="164" fontId="34" fillId="0" borderId="16" xfId="88" applyNumberFormat="1" applyFont="1" applyFill="1" applyBorder="1" applyAlignment="1">
      <alignment horizontal="left" vertical="center"/>
    </xf>
    <xf numFmtId="0" fontId="47" fillId="0" borderId="0" xfId="75" applyFont="1" applyFill="1" applyBorder="1" applyAlignment="1" applyProtection="1">
      <alignment horizontal="center" vertical="center"/>
      <protection hidden="1"/>
    </xf>
    <xf numFmtId="0" fontId="40" fillId="0" borderId="0" xfId="75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49" fontId="0" fillId="0" borderId="0" xfId="0" applyNumberFormat="1" applyFill="1" applyAlignment="1"/>
    <xf numFmtId="0" fontId="51" fillId="0" borderId="0" xfId="75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61" fillId="0" borderId="0" xfId="0" applyFont="1" applyAlignment="1">
      <alignment horizontal="center"/>
    </xf>
    <xf numFmtId="164" fontId="61" fillId="0" borderId="0" xfId="75" applyNumberFormat="1" applyFont="1" applyAlignment="1">
      <alignment horizontal="center" vertical="center"/>
    </xf>
    <xf numFmtId="164" fontId="33" fillId="0" borderId="16" xfId="75" applyNumberFormat="1" applyFont="1" applyBorder="1" applyAlignment="1">
      <alignment horizontal="left" vertical="center"/>
    </xf>
    <xf numFmtId="164" fontId="33" fillId="0" borderId="16" xfId="75" applyNumberFormat="1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3" applyNumberFormat="1" applyFont="1" applyBorder="1" applyAlignment="1">
      <alignment horizontal="left" vertical="center"/>
    </xf>
    <xf numFmtId="164" fontId="34" fillId="0" borderId="16" xfId="73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3" applyNumberFormat="1" applyFont="1" applyBorder="1" applyAlignment="1">
      <alignment horizontal="center" vertical="center"/>
    </xf>
    <xf numFmtId="164" fontId="34" fillId="0" borderId="0" xfId="75" quotePrefix="1" applyNumberFormat="1" applyFont="1" applyAlignment="1">
      <alignment vertical="center"/>
    </xf>
    <xf numFmtId="0" fontId="34" fillId="0" borderId="2" xfId="74" applyFont="1" applyFill="1" applyBorder="1" applyAlignment="1">
      <alignment horizontal="center" vertical="center" wrapText="1"/>
    </xf>
    <xf numFmtId="43" fontId="34" fillId="0" borderId="16" xfId="29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49" fontId="34" fillId="0" borderId="2" xfId="74" applyNumberFormat="1" applyFont="1" applyFill="1" applyBorder="1" applyAlignment="1">
      <alignment horizontal="center" vertical="center"/>
    </xf>
    <xf numFmtId="164" fontId="34" fillId="0" borderId="0" xfId="29" applyNumberFormat="1" applyFont="1" applyFill="1"/>
    <xf numFmtId="0" fontId="39" fillId="0" borderId="0" xfId="74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34" fillId="0" borderId="16" xfId="74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78" applyFont="1" applyFill="1" applyBorder="1" applyAlignment="1" applyProtection="1">
      <alignment horizontal="center" vertical="center"/>
      <protection hidden="1"/>
    </xf>
    <xf numFmtId="0" fontId="36" fillId="0" borderId="0" xfId="75" applyFont="1" applyFill="1" applyBorder="1" applyAlignment="1" applyProtection="1">
      <alignment vertical="center"/>
      <protection locked="0" hidden="1"/>
    </xf>
    <xf numFmtId="0" fontId="36" fillId="26" borderId="28" xfId="75" applyFont="1" applyFill="1" applyBorder="1" applyAlignment="1" applyProtection="1">
      <alignment vertical="center"/>
      <protection locked="0" hidden="1"/>
    </xf>
    <xf numFmtId="0" fontId="36" fillId="27" borderId="28" xfId="75" applyNumberFormat="1" applyFont="1" applyFill="1" applyBorder="1" applyAlignment="1" applyProtection="1">
      <alignment vertical="center"/>
      <protection locked="0" hidden="1"/>
    </xf>
    <xf numFmtId="0" fontId="33" fillId="0" borderId="16" xfId="0" applyFont="1" applyBorder="1" applyAlignment="1">
      <alignment vertical="center"/>
    </xf>
    <xf numFmtId="0" fontId="33" fillId="0" borderId="16" xfId="0" applyFont="1" applyBorder="1"/>
    <xf numFmtId="164" fontId="33" fillId="0" borderId="2" xfId="29" applyNumberFormat="1" applyFont="1" applyBorder="1" applyAlignment="1">
      <alignment vertical="center"/>
    </xf>
    <xf numFmtId="0" fontId="39" fillId="21" borderId="20" xfId="34" applyFont="1" applyBorder="1" applyAlignment="1">
      <alignment horizontal="center" vertical="center" wrapText="1"/>
    </xf>
    <xf numFmtId="14" fontId="34" fillId="25" borderId="16" xfId="74" applyNumberFormat="1" applyFont="1" applyFill="1" applyBorder="1" applyAlignment="1">
      <alignment horizontal="center" vertical="center"/>
    </xf>
    <xf numFmtId="0" fontId="33" fillId="25" borderId="16" xfId="0" applyFont="1" applyFill="1" applyBorder="1"/>
    <xf numFmtId="164" fontId="34" fillId="25" borderId="16" xfId="29" applyNumberFormat="1" applyFont="1" applyFill="1" applyBorder="1" applyAlignment="1">
      <alignment horizontal="left" vertical="center"/>
    </xf>
    <xf numFmtId="43" fontId="34" fillId="25" borderId="16" xfId="29" applyFont="1" applyFill="1" applyBorder="1" applyAlignment="1">
      <alignment horizontal="left" vertical="center"/>
    </xf>
    <xf numFmtId="164" fontId="34" fillId="25" borderId="16" xfId="75" applyNumberFormat="1" applyFont="1" applyFill="1" applyBorder="1" applyAlignment="1">
      <alignment vertical="center"/>
    </xf>
    <xf numFmtId="0" fontId="34" fillId="25" borderId="16" xfId="74" quotePrefix="1" applyNumberFormat="1" applyFont="1" applyFill="1" applyBorder="1" applyAlignment="1">
      <alignment horizontal="center" vertical="center"/>
    </xf>
    <xf numFmtId="0" fontId="0" fillId="25" borderId="0" xfId="0" applyFill="1"/>
    <xf numFmtId="0" fontId="59" fillId="0" borderId="0" xfId="52" applyFont="1" applyAlignment="1">
      <alignment horizontal="right" vertical="center"/>
    </xf>
    <xf numFmtId="49" fontId="39" fillId="0" borderId="0" xfId="74" applyNumberFormat="1" applyFont="1" applyFill="1" applyAlignment="1">
      <alignment horizontal="center" vertical="center" wrapText="1"/>
    </xf>
    <xf numFmtId="49" fontId="34" fillId="0" borderId="20" xfId="74" applyNumberFormat="1" applyFont="1" applyFill="1" applyBorder="1" applyAlignment="1">
      <alignment horizontal="center" vertical="center" wrapText="1"/>
    </xf>
    <xf numFmtId="49" fontId="34" fillId="0" borderId="2" xfId="0" applyNumberFormat="1" applyFont="1" applyFill="1" applyBorder="1" applyAlignment="1">
      <alignment horizontal="center"/>
    </xf>
    <xf numFmtId="49" fontId="34" fillId="0" borderId="16" xfId="74" applyNumberFormat="1" applyFont="1" applyFill="1" applyBorder="1" applyAlignment="1">
      <alignment horizontal="center" vertical="center"/>
    </xf>
    <xf numFmtId="49" fontId="34" fillId="25" borderId="16" xfId="74" applyNumberFormat="1" applyFont="1" applyFill="1" applyBorder="1" applyAlignment="1">
      <alignment horizontal="center" vertical="center"/>
    </xf>
    <xf numFmtId="49" fontId="0" fillId="0" borderId="0" xfId="0" applyNumberFormat="1" applyFill="1"/>
    <xf numFmtId="164" fontId="36" fillId="0" borderId="0" xfId="29" applyNumberFormat="1" applyFont="1" applyAlignment="1">
      <alignment horizontal="center" vertical="center" wrapText="1"/>
    </xf>
    <xf numFmtId="164" fontId="34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 wrapText="1" shrinkToFit="1"/>
    </xf>
    <xf numFmtId="164" fontId="34" fillId="0" borderId="20" xfId="29" applyNumberFormat="1" applyFont="1" applyBorder="1" applyAlignment="1">
      <alignment horizontal="center" vertical="center"/>
    </xf>
    <xf numFmtId="164" fontId="24" fillId="0" borderId="0" xfId="29" applyNumberFormat="1" applyFont="1"/>
    <xf numFmtId="164" fontId="0" fillId="0" borderId="0" xfId="29" applyNumberFormat="1" applyFont="1"/>
    <xf numFmtId="0" fontId="34" fillId="0" borderId="2" xfId="52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left" vertical="center"/>
    </xf>
    <xf numFmtId="0" fontId="43" fillId="0" borderId="16" xfId="0" applyFont="1" applyFill="1" applyBorder="1" applyAlignment="1">
      <alignment horizontal="center"/>
    </xf>
    <xf numFmtId="0" fontId="43" fillId="0" borderId="16" xfId="75" applyNumberFormat="1" applyFont="1" applyFill="1" applyBorder="1" applyAlignment="1">
      <alignment horizontal="center" vertical="center"/>
    </xf>
    <xf numFmtId="14" fontId="43" fillId="0" borderId="16" xfId="74" applyNumberFormat="1" applyFont="1" applyFill="1" applyBorder="1" applyAlignment="1">
      <alignment horizontal="center" vertical="center"/>
    </xf>
    <xf numFmtId="164" fontId="43" fillId="0" borderId="16" xfId="88" applyNumberFormat="1" applyFont="1" applyFill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/>
    </xf>
    <xf numFmtId="43" fontId="43" fillId="0" borderId="16" xfId="29" applyFont="1" applyFill="1" applyBorder="1" applyAlignment="1">
      <alignment horizontal="left" vertical="center"/>
    </xf>
    <xf numFmtId="164" fontId="43" fillId="0" borderId="16" xfId="75" applyNumberFormat="1" applyFont="1" applyFill="1" applyBorder="1" applyAlignment="1">
      <alignment vertical="center"/>
    </xf>
    <xf numFmtId="0" fontId="62" fillId="0" borderId="0" xfId="0" applyFont="1" applyFill="1"/>
    <xf numFmtId="14" fontId="43" fillId="0" borderId="16" xfId="88" applyNumberFormat="1" applyFont="1" applyFill="1" applyBorder="1" applyAlignment="1">
      <alignment horizontal="center" vertical="center"/>
    </xf>
    <xf numFmtId="49" fontId="43" fillId="0" borderId="16" xfId="88" applyNumberFormat="1" applyFont="1" applyFill="1" applyBorder="1" applyAlignment="1">
      <alignment horizontal="left" vertical="center"/>
    </xf>
    <xf numFmtId="0" fontId="43" fillId="0" borderId="16" xfId="88" quotePrefix="1" applyNumberFormat="1" applyFont="1" applyFill="1" applyBorder="1" applyAlignment="1">
      <alignment horizontal="center" vertical="center"/>
    </xf>
    <xf numFmtId="1" fontId="43" fillId="0" borderId="16" xfId="88" quotePrefix="1" applyNumberFormat="1" applyFont="1" applyFill="1" applyBorder="1" applyAlignment="1">
      <alignment horizontal="center" vertical="center"/>
    </xf>
    <xf numFmtId="0" fontId="59" fillId="0" borderId="0" xfId="52" applyFont="1" applyAlignment="1">
      <alignment vertical="center"/>
    </xf>
    <xf numFmtId="0" fontId="34" fillId="0" borderId="0" xfId="0" applyFont="1" applyAlignment="1">
      <alignment vertical="center"/>
    </xf>
    <xf numFmtId="0" fontId="59" fillId="0" borderId="2" xfId="0" applyFont="1" applyBorder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59" fillId="0" borderId="31" xfId="0" applyFont="1" applyBorder="1" applyAlignment="1">
      <alignment horizontal="left" vertical="center" wrapText="1"/>
    </xf>
    <xf numFmtId="0" fontId="63" fillId="0" borderId="12" xfId="0" applyFont="1" applyBorder="1" applyAlignment="1">
      <alignment vertical="center"/>
    </xf>
    <xf numFmtId="0" fontId="63" fillId="0" borderId="0" xfId="0" applyFont="1" applyAlignment="1">
      <alignment vertical="center"/>
    </xf>
    <xf numFmtId="0" fontId="63" fillId="0" borderId="16" xfId="0" applyFont="1" applyBorder="1" applyAlignment="1">
      <alignment vertical="center"/>
    </xf>
    <xf numFmtId="0" fontId="63" fillId="0" borderId="16" xfId="0" applyFont="1" applyBorder="1" applyAlignment="1">
      <alignment vertical="center" wrapText="1"/>
    </xf>
    <xf numFmtId="0" fontId="63" fillId="0" borderId="12" xfId="0" applyFont="1" applyBorder="1" applyAlignment="1">
      <alignment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4" applyFont="1" applyFill="1" applyBorder="1" applyAlignment="1">
      <alignment horizontal="center" vertical="center"/>
    </xf>
    <xf numFmtId="0" fontId="34" fillId="0" borderId="18" xfId="74" applyFont="1" applyFill="1" applyBorder="1" applyAlignment="1">
      <alignment horizontal="center" vertical="center"/>
    </xf>
    <xf numFmtId="49" fontId="34" fillId="0" borderId="2" xfId="74" applyNumberFormat="1" applyFont="1" applyFill="1" applyBorder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25" xfId="74" quotePrefix="1" applyNumberFormat="1" applyFont="1" applyFill="1" applyBorder="1" applyAlignment="1">
      <alignment horizontal="center" vertical="center" wrapText="1"/>
    </xf>
    <xf numFmtId="0" fontId="34" fillId="0" borderId="27" xfId="74" quotePrefix="1" applyNumberFormat="1" applyFont="1" applyFill="1" applyBorder="1" applyAlignment="1">
      <alignment horizontal="center" vertical="center" wrapText="1"/>
    </xf>
    <xf numFmtId="0" fontId="34" fillId="0" borderId="26" xfId="74" quotePrefix="1" applyNumberFormat="1" applyFont="1" applyFill="1" applyBorder="1" applyAlignment="1">
      <alignment horizontal="center" vertical="center" wrapText="1"/>
    </xf>
    <xf numFmtId="0" fontId="34" fillId="0" borderId="29" xfId="74" quotePrefix="1" applyNumberFormat="1" applyFont="1" applyFill="1" applyBorder="1" applyAlignment="1">
      <alignment horizontal="center" vertical="center" wrapText="1"/>
    </xf>
    <xf numFmtId="0" fontId="34" fillId="0" borderId="22" xfId="74" quotePrefix="1" applyNumberFormat="1" applyFont="1" applyFill="1" applyBorder="1" applyAlignment="1">
      <alignment horizontal="center" vertical="center" wrapText="1"/>
    </xf>
    <xf numFmtId="0" fontId="34" fillId="0" borderId="30" xfId="74" quotePrefix="1" applyNumberFormat="1" applyFont="1" applyFill="1" applyBorder="1" applyAlignment="1">
      <alignment horizontal="center" vertical="center" wrapText="1"/>
    </xf>
    <xf numFmtId="0" fontId="34" fillId="0" borderId="17" xfId="74" quotePrefix="1" applyNumberFormat="1" applyFont="1" applyFill="1" applyBorder="1" applyAlignment="1">
      <alignment horizontal="center" vertical="center" wrapText="1"/>
    </xf>
    <xf numFmtId="0" fontId="34" fillId="0" borderId="18" xfId="74" quotePrefix="1" applyNumberFormat="1" applyFont="1" applyFill="1" applyBorder="1" applyAlignment="1">
      <alignment horizontal="center" vertical="center" wrapText="1"/>
    </xf>
    <xf numFmtId="49" fontId="34" fillId="0" borderId="24" xfId="74" applyNumberFormat="1" applyFont="1" applyFill="1" applyBorder="1" applyAlignment="1">
      <alignment horizontal="center" vertical="center"/>
    </xf>
    <xf numFmtId="49" fontId="34" fillId="0" borderId="20" xfId="74" applyNumberFormat="1" applyFont="1" applyFill="1" applyBorder="1" applyAlignment="1">
      <alignment horizontal="center" vertical="center"/>
    </xf>
    <xf numFmtId="0" fontId="41" fillId="0" borderId="0" xfId="74" applyFont="1" applyFill="1" applyAlignment="1">
      <alignment horizontal="center" vertical="center"/>
    </xf>
    <xf numFmtId="0" fontId="36" fillId="0" borderId="0" xfId="74" applyFont="1" applyFill="1" applyAlignment="1">
      <alignment horizontal="center" vertical="center"/>
    </xf>
    <xf numFmtId="0" fontId="34" fillId="0" borderId="5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left" vertical="center"/>
    </xf>
    <xf numFmtId="0" fontId="34" fillId="0" borderId="18" xfId="74" applyFont="1" applyFill="1" applyBorder="1" applyAlignment="1">
      <alignment horizontal="left" vertical="center"/>
    </xf>
    <xf numFmtId="0" fontId="34" fillId="0" borderId="0" xfId="52" applyFont="1" applyAlignment="1">
      <alignment horizontal="center" vertical="center"/>
    </xf>
    <xf numFmtId="0" fontId="34" fillId="0" borderId="25" xfId="52" applyFont="1" applyBorder="1" applyAlignment="1">
      <alignment horizontal="center" vertical="center" wrapText="1"/>
    </xf>
    <xf numFmtId="0" fontId="3" fillId="0" borderId="26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0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27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33" fillId="0" borderId="2" xfId="75" applyNumberFormat="1" applyFont="1" applyBorder="1" applyAlignment="1">
      <alignment horizontal="center" vertical="center" wrapText="1"/>
    </xf>
    <xf numFmtId="164" fontId="33" fillId="0" borderId="17" xfId="75" applyNumberFormat="1" applyFont="1" applyBorder="1" applyAlignment="1">
      <alignment horizontal="center" vertical="center" wrapText="1"/>
    </xf>
    <xf numFmtId="164" fontId="33" fillId="0" borderId="18" xfId="75" applyNumberFormat="1" applyFont="1" applyBorder="1" applyAlignment="1">
      <alignment horizontal="center" vertical="center" wrapText="1"/>
    </xf>
    <xf numFmtId="164" fontId="22" fillId="0" borderId="0" xfId="75" applyNumberFormat="1" applyFont="1" applyAlignment="1">
      <alignment horizontal="center" vertical="center"/>
    </xf>
    <xf numFmtId="164" fontId="33" fillId="0" borderId="0" xfId="75" applyNumberFormat="1" applyFont="1" applyAlignment="1">
      <alignment horizontal="center" vertical="center"/>
    </xf>
    <xf numFmtId="164" fontId="36" fillId="0" borderId="0" xfId="75" applyNumberFormat="1" applyFont="1" applyAlignment="1">
      <alignment horizontal="center" vertical="center"/>
    </xf>
    <xf numFmtId="0" fontId="38" fillId="0" borderId="22" xfId="58" applyFont="1" applyBorder="1" applyAlignment="1">
      <alignment horizontal="center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 wrapText="1" shrinkToFit="1"/>
    </xf>
    <xf numFmtId="0" fontId="59" fillId="0" borderId="0" xfId="52" applyFont="1" applyAlignment="1">
      <alignment horizontal="left" vertical="center"/>
    </xf>
    <xf numFmtId="0" fontId="41" fillId="0" borderId="0" xfId="0" applyFont="1" applyAlignment="1">
      <alignment horizontal="center" vertical="center"/>
    </xf>
  </cellXfs>
  <cellStyles count="9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_112 - 15" xfId="85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8"/>
    <cellStyle name="Normal_NhatKy0403" xfId="77"/>
    <cellStyle name="Normal_PNKPXK" xfId="78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%201\Desktop\NKSC16%20-%20NH4tha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SC-I"/>
      <sheetName val="SC-II"/>
      <sheetName val="SC-III"/>
      <sheetName val="SC-IV"/>
      <sheetName val="CTTK"/>
      <sheetName val="IN-TC"/>
      <sheetName val="111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K-NL"/>
      <sheetName val="BTGT"/>
      <sheetName val="THEGT"/>
      <sheetName val="SO-TS"/>
      <sheetName val="THE-TS"/>
      <sheetName val="Sheet2"/>
    </sheetNames>
    <sheetDataSet>
      <sheetData sheetId="0">
        <row r="57">
          <cell r="D57">
            <v>30160884.000000477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2440"/>
  <sheetViews>
    <sheetView topLeftCell="A7" workbookViewId="0">
      <pane ySplit="3" topLeftCell="A2030" activePane="bottomLeft" state="frozen"/>
      <selection activeCell="A7" sqref="A7"/>
      <selection pane="bottomLeft" activeCell="E2042" sqref="E2042"/>
    </sheetView>
  </sheetViews>
  <sheetFormatPr defaultRowHeight="12.75"/>
  <cols>
    <col min="1" max="1" width="4.5703125" style="153" customWidth="1"/>
    <col min="2" max="2" width="4.85546875" style="147" customWidth="1"/>
    <col min="3" max="3" width="9.140625" style="147" customWidth="1"/>
    <col min="4" max="4" width="6.85546875" style="214" customWidth="1"/>
    <col min="5" max="5" width="9.140625" style="147" customWidth="1"/>
    <col min="6" max="6" width="32.7109375" style="147" customWidth="1"/>
    <col min="7" max="7" width="14.85546875" style="192" customWidth="1"/>
    <col min="8" max="8" width="40.7109375" style="157" customWidth="1"/>
    <col min="9" max="9" width="7.7109375" style="157" customWidth="1"/>
    <col min="10" max="10" width="9.140625" style="157" customWidth="1"/>
    <col min="11" max="11" width="10" style="157" customWidth="1"/>
    <col min="12" max="12" width="8.85546875" style="157" customWidth="1"/>
    <col min="13" max="13" width="16" style="147" customWidth="1"/>
    <col min="14" max="15" width="7" style="147" customWidth="1"/>
    <col min="16" max="16" width="4.42578125" style="147" customWidth="1"/>
    <col min="17" max="19" width="2.7109375" style="147" customWidth="1"/>
    <col min="20" max="20" width="9.140625" style="147" customWidth="1"/>
    <col min="21" max="16384" width="9.140625" style="147"/>
  </cols>
  <sheetData>
    <row r="1" spans="1:19">
      <c r="B1" s="29"/>
      <c r="C1" s="29" t="s">
        <v>38</v>
      </c>
      <c r="D1" s="209"/>
      <c r="E1" s="30"/>
      <c r="F1" s="31"/>
      <c r="G1" s="189"/>
      <c r="H1" s="49"/>
      <c r="I1" s="49"/>
      <c r="J1" s="49"/>
      <c r="K1" s="49"/>
      <c r="L1" s="49"/>
      <c r="M1" s="40"/>
      <c r="N1" s="32"/>
      <c r="O1" s="32"/>
      <c r="P1" s="32"/>
      <c r="Q1" s="32"/>
      <c r="R1" s="32"/>
      <c r="S1" s="32"/>
    </row>
    <row r="2" spans="1:19">
      <c r="B2" s="29"/>
      <c r="C2" s="29" t="s">
        <v>39</v>
      </c>
      <c r="D2" s="209"/>
      <c r="E2" s="30"/>
      <c r="F2" s="30"/>
      <c r="G2" s="189"/>
      <c r="H2" s="50"/>
      <c r="I2" s="50"/>
      <c r="J2" s="50"/>
      <c r="K2" s="50"/>
      <c r="L2" s="50"/>
      <c r="M2" s="40"/>
      <c r="N2" s="32"/>
      <c r="O2" s="32"/>
      <c r="P2" s="32"/>
      <c r="Q2" s="32"/>
      <c r="R2" s="32"/>
      <c r="S2" s="32"/>
    </row>
    <row r="3" spans="1:19">
      <c r="B3" s="30"/>
      <c r="C3" s="30"/>
      <c r="D3" s="209"/>
      <c r="E3" s="30"/>
      <c r="F3" s="30"/>
      <c r="G3" s="189"/>
      <c r="H3" s="50"/>
      <c r="I3" s="50"/>
      <c r="J3" s="50"/>
      <c r="K3" s="50"/>
      <c r="L3" s="50"/>
      <c r="M3" s="39"/>
      <c r="N3" s="33"/>
      <c r="O3" s="33"/>
      <c r="P3" s="33"/>
      <c r="Q3" s="33"/>
      <c r="R3" s="33"/>
      <c r="S3" s="33"/>
    </row>
    <row r="4" spans="1:19" ht="22.5">
      <c r="B4" s="40"/>
      <c r="C4" s="262" t="s">
        <v>36</v>
      </c>
      <c r="D4" s="262"/>
      <c r="E4" s="262"/>
      <c r="F4" s="262"/>
      <c r="G4" s="262"/>
      <c r="H4" s="262"/>
      <c r="I4" s="262"/>
      <c r="J4" s="262"/>
      <c r="K4" s="262"/>
      <c r="L4" s="262"/>
      <c r="M4" s="262"/>
      <c r="N4" s="262"/>
      <c r="O4" s="262"/>
    </row>
    <row r="5" spans="1:19" ht="14.25">
      <c r="B5" s="40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</row>
    <row r="6" spans="1:19">
      <c r="B6" s="40"/>
      <c r="C6" s="40"/>
      <c r="D6" s="41"/>
      <c r="E6" s="40"/>
      <c r="F6" s="40"/>
      <c r="G6" s="29"/>
      <c r="H6" s="41"/>
      <c r="I6" s="41"/>
      <c r="J6" s="41"/>
      <c r="K6" s="41"/>
      <c r="L6" s="41"/>
      <c r="M6" s="40"/>
      <c r="N6" s="32"/>
      <c r="O6" s="32"/>
      <c r="P6" s="32"/>
      <c r="Q6" s="32"/>
      <c r="R6" s="32"/>
      <c r="S6" s="32"/>
    </row>
    <row r="7" spans="1:19" ht="24.75" customHeight="1">
      <c r="A7" s="246" t="s">
        <v>58</v>
      </c>
      <c r="B7" s="248" t="s">
        <v>40</v>
      </c>
      <c r="C7" s="251" t="s">
        <v>16</v>
      </c>
      <c r="D7" s="264" t="s">
        <v>1</v>
      </c>
      <c r="E7" s="265"/>
      <c r="F7" s="251" t="s">
        <v>0</v>
      </c>
      <c r="G7" s="267" t="s">
        <v>57</v>
      </c>
      <c r="H7" s="250" t="s">
        <v>32</v>
      </c>
      <c r="I7" s="260" t="s">
        <v>102</v>
      </c>
      <c r="J7" s="261"/>
      <c r="K7" s="251" t="s">
        <v>95</v>
      </c>
      <c r="L7" s="251"/>
      <c r="M7" s="251" t="s">
        <v>94</v>
      </c>
      <c r="N7" s="266" t="s">
        <v>37</v>
      </c>
      <c r="O7" s="266"/>
      <c r="P7" s="258" t="s">
        <v>8</v>
      </c>
      <c r="Q7" s="252" t="s">
        <v>34</v>
      </c>
      <c r="R7" s="253"/>
      <c r="S7" s="254"/>
    </row>
    <row r="8" spans="1:19" ht="24.75" customHeight="1">
      <c r="A8" s="247"/>
      <c r="B8" s="249"/>
      <c r="C8" s="251"/>
      <c r="D8" s="210" t="s">
        <v>14</v>
      </c>
      <c r="E8" s="150" t="s">
        <v>22</v>
      </c>
      <c r="F8" s="251"/>
      <c r="G8" s="268"/>
      <c r="H8" s="250"/>
      <c r="I8" s="187" t="s">
        <v>100</v>
      </c>
      <c r="J8" s="187" t="s">
        <v>101</v>
      </c>
      <c r="K8" s="184" t="s">
        <v>97</v>
      </c>
      <c r="L8" s="184" t="s">
        <v>96</v>
      </c>
      <c r="M8" s="251"/>
      <c r="N8" s="151" t="s">
        <v>18</v>
      </c>
      <c r="O8" s="151" t="s">
        <v>19</v>
      </c>
      <c r="P8" s="259"/>
      <c r="Q8" s="255"/>
      <c r="R8" s="256"/>
      <c r="S8" s="257"/>
    </row>
    <row r="9" spans="1:19">
      <c r="A9" s="154">
        <v>1</v>
      </c>
      <c r="B9" s="155">
        <v>2</v>
      </c>
      <c r="C9" s="155">
        <v>3</v>
      </c>
      <c r="D9" s="211">
        <v>4</v>
      </c>
      <c r="E9" s="155">
        <v>5</v>
      </c>
      <c r="F9" s="155">
        <v>6</v>
      </c>
      <c r="G9" s="190">
        <v>7</v>
      </c>
      <c r="H9" s="155">
        <v>8</v>
      </c>
      <c r="I9" s="156">
        <v>9</v>
      </c>
      <c r="J9" s="155">
        <v>10</v>
      </c>
      <c r="K9" s="156">
        <v>11</v>
      </c>
      <c r="L9" s="155">
        <v>12</v>
      </c>
      <c r="M9" s="156">
        <v>13</v>
      </c>
      <c r="N9" s="155">
        <v>14</v>
      </c>
      <c r="O9" s="156">
        <v>15</v>
      </c>
      <c r="P9" s="155">
        <v>16</v>
      </c>
      <c r="Q9" s="156">
        <v>17</v>
      </c>
      <c r="R9" s="155">
        <v>18</v>
      </c>
      <c r="S9" s="156">
        <v>19</v>
      </c>
    </row>
    <row r="10" spans="1:19" s="231" customFormat="1" ht="15.75" customHeight="1">
      <c r="A10" s="224" t="str">
        <f>IF(B10&lt;&gt;"",IF(AND(B10='IN-TC'!$S$4,OR(TH!N10="1111",TH!O10="1111")),TH!D10,""),"")</f>
        <v/>
      </c>
      <c r="B10" s="225">
        <f t="shared" ref="B10:B12" si="0">IF(C10&lt;&gt;"",MONTH(C10),"")</f>
        <v>1</v>
      </c>
      <c r="C10" s="226">
        <f t="shared" ref="C10:C12" si="1">E10</f>
        <v>42400</v>
      </c>
      <c r="D10" s="232" t="s">
        <v>1557</v>
      </c>
      <c r="E10" s="232">
        <v>42400</v>
      </c>
      <c r="F10" s="227" t="s">
        <v>1558</v>
      </c>
      <c r="G10" s="227"/>
      <c r="H10" s="233"/>
      <c r="I10" s="228"/>
      <c r="J10" s="228"/>
      <c r="K10" s="229"/>
      <c r="L10" s="228"/>
      <c r="M10" s="230">
        <f>[1]CDPS!D57</f>
        <v>30160884.000000477</v>
      </c>
      <c r="N10" s="234" t="s">
        <v>1559</v>
      </c>
      <c r="O10" s="234" t="s">
        <v>1560</v>
      </c>
      <c r="P10" s="47" t="str">
        <f>IF(AND('331-CT'!$F$5=TH!H10,OR(N10="331",O10="331")),"x","")</f>
        <v/>
      </c>
      <c r="Q10" s="47" t="str">
        <f>IF(AND(B10='111'!$L$11,OR($N10=$Q$7,$O10=$Q$7)),"x","")</f>
        <v/>
      </c>
      <c r="R10" s="47" t="str">
        <f>IF(AND($N10=$Q$7,$B10&lt;'111'!$L$11),"x","")</f>
        <v/>
      </c>
      <c r="S10" s="47" t="str">
        <f>IF(AND($O10=$Q$7,$B10&lt;'111'!$L$11),"x","")</f>
        <v/>
      </c>
    </row>
    <row r="11" spans="1:19" s="231" customFormat="1" ht="15.75" customHeight="1">
      <c r="A11" s="224" t="str">
        <f>IF(B11&lt;&gt;"",IF(AND(B11='IN-TC'!$S$4,OR(TH!N1567="1111",TH!O1567="1111")),TH!D1567,""),"")</f>
        <v/>
      </c>
      <c r="B11" s="225">
        <f t="shared" si="0"/>
        <v>1</v>
      </c>
      <c r="C11" s="226">
        <f t="shared" si="1"/>
        <v>42400</v>
      </c>
      <c r="D11" s="232" t="s">
        <v>1557</v>
      </c>
      <c r="E11" s="232">
        <v>42400</v>
      </c>
      <c r="F11" s="227" t="s">
        <v>1561</v>
      </c>
      <c r="G11" s="227"/>
      <c r="H11" s="233"/>
      <c r="I11" s="228"/>
      <c r="J11" s="228"/>
      <c r="K11" s="229"/>
      <c r="L11" s="228"/>
      <c r="M11" s="230">
        <f>SUMIF(KHC,N11,TH)</f>
        <v>0</v>
      </c>
      <c r="N11" s="235" t="s">
        <v>1562</v>
      </c>
      <c r="O11" s="234" t="s">
        <v>1563</v>
      </c>
      <c r="P11" s="47" t="str">
        <f>IF(AND('331-CT'!$F$5=TH!H11,OR(N11="331",O11="331")),"x","")</f>
        <v/>
      </c>
      <c r="Q11" s="47" t="str">
        <f>IF(AND(B11='111'!$L$11,OR($N11=$Q$7,$O11=$Q$7)),"x","")</f>
        <v/>
      </c>
      <c r="R11" s="47" t="str">
        <f>IF(AND($N11=$Q$7,$B11&lt;'111'!$L$11),"x","")</f>
        <v/>
      </c>
      <c r="S11" s="47" t="str">
        <f>IF(AND($O11=$Q$7,$B11&lt;'111'!$L$11),"x","")</f>
        <v/>
      </c>
    </row>
    <row r="12" spans="1:19" ht="15.75" customHeight="1">
      <c r="A12" s="152" t="str">
        <f>IF(B12&lt;&gt;"",IF(AND(B12='IN-TC'!$S$4,OR(TH!N12="1111",TH!O12="1111")),TH!D12,""),"")</f>
        <v/>
      </c>
      <c r="B12" s="34">
        <f t="shared" si="0"/>
        <v>1</v>
      </c>
      <c r="C12" s="35">
        <f t="shared" si="1"/>
        <v>42370</v>
      </c>
      <c r="D12" s="212" t="s">
        <v>934</v>
      </c>
      <c r="E12" s="35">
        <v>42370</v>
      </c>
      <c r="F12" s="144" t="s">
        <v>118</v>
      </c>
      <c r="G12" s="191" t="s">
        <v>104</v>
      </c>
      <c r="H12" s="198"/>
      <c r="I12" s="186"/>
      <c r="J12" s="186"/>
      <c r="K12" s="185"/>
      <c r="L12" s="186"/>
      <c r="M12" s="36">
        <v>2200000000</v>
      </c>
      <c r="N12" s="37" t="s">
        <v>34</v>
      </c>
      <c r="O12" s="37" t="s">
        <v>1404</v>
      </c>
      <c r="P12" s="47" t="str">
        <f>IF(AND('331-CT'!$F$5=TH!H12,OR(N12="331",O12="331")),"x","")</f>
        <v/>
      </c>
      <c r="Q12" s="47" t="str">
        <f>IF(AND(B12='111'!$L$11,OR($N12=$Q$7,$O12=$Q$7)),"x","")</f>
        <v/>
      </c>
      <c r="R12" s="47" t="str">
        <f>IF(AND($N12=$Q$7,$B12&lt;'111'!$L$11),"x","")</f>
        <v>x</v>
      </c>
      <c r="S12" s="47" t="str">
        <f>IF(AND($O12=$Q$7,$B12&lt;'111'!$L$11),"x","")</f>
        <v/>
      </c>
    </row>
    <row r="13" spans="1:19" ht="15.75" customHeight="1">
      <c r="A13" s="152" t="str">
        <f>IF(B13&lt;&gt;"",IF(AND(B13='IN-TC'!$S$4,OR(TH!N13="1111",TH!O13="1111")),TH!D13,""),"")</f>
        <v/>
      </c>
      <c r="B13" s="34">
        <f t="shared" ref="B13:B76" si="2">IF(C13&lt;&gt;"",MONTH(C13),"")</f>
        <v>11</v>
      </c>
      <c r="C13" s="35">
        <f t="shared" ref="C13:C76" si="3">E13</f>
        <v>42336</v>
      </c>
      <c r="D13" s="212"/>
      <c r="E13" s="35">
        <v>42336</v>
      </c>
      <c r="F13" s="144" t="s">
        <v>1469</v>
      </c>
      <c r="G13" s="191" t="s">
        <v>204</v>
      </c>
      <c r="H13" s="198" t="s">
        <v>821</v>
      </c>
      <c r="I13" s="186">
        <v>6840</v>
      </c>
      <c r="J13" s="186">
        <v>13500</v>
      </c>
      <c r="K13" s="185"/>
      <c r="L13" s="186"/>
      <c r="M13" s="36">
        <f>ROUND(I13*J13,-3)</f>
        <v>92340000</v>
      </c>
      <c r="N13" s="37" t="s">
        <v>1443</v>
      </c>
      <c r="O13" s="37" t="s">
        <v>8</v>
      </c>
      <c r="P13" s="47" t="str">
        <f>IF(AND('331-CT'!$F$5=TH!H13,OR(N13="331",O13="331")),"x","")</f>
        <v/>
      </c>
      <c r="Q13" s="47" t="str">
        <f>IF(AND(B13='111'!$L$11,OR($N13=$Q$7,$O13=$Q$7)),"x","")</f>
        <v/>
      </c>
      <c r="R13" s="47" t="str">
        <f>IF(AND($N13=$Q$7,$B13&lt;'111'!$L$11),"x","")</f>
        <v/>
      </c>
      <c r="S13" s="47" t="str">
        <f>IF(AND($O13=$Q$7,$B13&lt;'111'!$L$11),"x","")</f>
        <v/>
      </c>
    </row>
    <row r="14" spans="1:19" ht="15.75" customHeight="1">
      <c r="A14" s="152" t="str">
        <f>IF(B14&lt;&gt;"",IF(AND(B14='IN-TC'!$S$4,OR(TH!N14="1111",TH!O14="1111")),TH!D14,""),"")</f>
        <v/>
      </c>
      <c r="B14" s="34">
        <f t="shared" si="2"/>
        <v>12</v>
      </c>
      <c r="C14" s="35">
        <f t="shared" si="3"/>
        <v>42368</v>
      </c>
      <c r="D14" s="212"/>
      <c r="E14" s="35">
        <v>42368</v>
      </c>
      <c r="F14" s="144" t="s">
        <v>1502</v>
      </c>
      <c r="G14" s="191" t="s">
        <v>1454</v>
      </c>
      <c r="H14" s="198" t="s">
        <v>846</v>
      </c>
      <c r="I14" s="186">
        <v>817</v>
      </c>
      <c r="J14" s="186">
        <v>52000</v>
      </c>
      <c r="K14" s="185"/>
      <c r="L14" s="186"/>
      <c r="M14" s="36">
        <f>ROUND(I14*J14,-3)</f>
        <v>42484000</v>
      </c>
      <c r="N14" s="37" t="s">
        <v>1443</v>
      </c>
      <c r="O14" s="37" t="s">
        <v>8</v>
      </c>
      <c r="P14" s="47" t="str">
        <f>IF(AND('331-CT'!$F$5=TH!H14,OR(N14="331",O14="331")),"x","")</f>
        <v/>
      </c>
      <c r="Q14" s="47" t="str">
        <f>IF(AND(B14='111'!$L$11,OR($N14=$Q$7,$O14=$Q$7)),"x","")</f>
        <v/>
      </c>
      <c r="R14" s="47" t="str">
        <f>IF(AND($N14=$Q$7,$B14&lt;'111'!$L$11),"x","")</f>
        <v/>
      </c>
      <c r="S14" s="47" t="str">
        <f>IF(AND($O14=$Q$7,$B14&lt;'111'!$L$11),"x","")</f>
        <v/>
      </c>
    </row>
    <row r="15" spans="1:19" ht="15.75" customHeight="1">
      <c r="A15" s="152" t="str">
        <f>IF(B15&lt;&gt;"",IF(AND(B15='IN-TC'!$S$4,OR(TH!N15="1111",TH!O15="1111")),TH!D15,""),"")</f>
        <v/>
      </c>
      <c r="B15" s="34">
        <f t="shared" si="2"/>
        <v>1</v>
      </c>
      <c r="C15" s="35">
        <f t="shared" si="3"/>
        <v>42370</v>
      </c>
      <c r="D15" s="212" t="s">
        <v>860</v>
      </c>
      <c r="E15" s="35">
        <v>42370</v>
      </c>
      <c r="F15" s="144" t="s">
        <v>235</v>
      </c>
      <c r="G15" s="191" t="s">
        <v>105</v>
      </c>
      <c r="H15" s="198" t="s">
        <v>1403</v>
      </c>
      <c r="I15" s="186"/>
      <c r="J15" s="186"/>
      <c r="K15" s="185"/>
      <c r="L15" s="186"/>
      <c r="M15" s="36">
        <v>500000000</v>
      </c>
      <c r="N15" s="37" t="s">
        <v>812</v>
      </c>
      <c r="O15" s="37" t="s">
        <v>34</v>
      </c>
      <c r="P15" s="47" t="str">
        <f>IF(AND('331-CT'!$F$5=TH!H15,OR(N15="331",O15="331")),"x","")</f>
        <v/>
      </c>
      <c r="Q15" s="47" t="str">
        <f>IF(AND(B15='111'!$L$11,OR($N15=$Q$7,$O15=$Q$7)),"x","")</f>
        <v/>
      </c>
      <c r="R15" s="47" t="str">
        <f>IF(AND($N15=$Q$7,$B15&lt;'111'!$L$11),"x","")</f>
        <v/>
      </c>
      <c r="S15" s="47" t="str">
        <f>IF(AND($O15=$Q$7,$B15&lt;'111'!$L$11),"x","")</f>
        <v>x</v>
      </c>
    </row>
    <row r="16" spans="1:19" ht="15.75" customHeight="1">
      <c r="A16" s="152" t="str">
        <f>IF(B16&lt;&gt;"",IF(AND(B16='IN-TC'!$S$4,OR(TH!N16="1111",TH!O16="1111")),TH!D16,""),"")</f>
        <v/>
      </c>
      <c r="B16" s="34">
        <f t="shared" si="2"/>
        <v>1</v>
      </c>
      <c r="C16" s="35">
        <f t="shared" si="3"/>
        <v>42370</v>
      </c>
      <c r="D16" s="212" t="s">
        <v>860</v>
      </c>
      <c r="E16" s="35">
        <v>42370</v>
      </c>
      <c r="F16" s="144" t="s">
        <v>203</v>
      </c>
      <c r="G16" s="191" t="s">
        <v>203</v>
      </c>
      <c r="H16" s="198" t="s">
        <v>1403</v>
      </c>
      <c r="I16" s="186"/>
      <c r="J16" s="186"/>
      <c r="K16" s="185"/>
      <c r="L16" s="186"/>
      <c r="M16" s="36">
        <v>17057000</v>
      </c>
      <c r="N16" s="37" t="s">
        <v>814</v>
      </c>
      <c r="O16" s="37" t="s">
        <v>34</v>
      </c>
      <c r="P16" s="47" t="str">
        <f>IF(AND('331-CT'!$F$5=TH!H16,OR(N16="331",O16="331")),"x","")</f>
        <v/>
      </c>
      <c r="Q16" s="47" t="str">
        <f>IF(AND(B16='111'!$L$11,OR($N16=$Q$7,$O16=$Q$7)),"x","")</f>
        <v/>
      </c>
      <c r="R16" s="47" t="str">
        <f>IF(AND($N16=$Q$7,$B16&lt;'111'!$L$11),"x","")</f>
        <v/>
      </c>
      <c r="S16" s="47" t="str">
        <f>IF(AND($O16=$Q$7,$B16&lt;'111'!$L$11),"x","")</f>
        <v>x</v>
      </c>
    </row>
    <row r="17" spans="1:19" ht="15.75" customHeight="1">
      <c r="A17" s="152" t="str">
        <f>IF(B17&lt;&gt;"",IF(AND(B17='IN-TC'!$S$4,OR(TH!N17="1111",TH!O17="1111")),TH!D17,""),"")</f>
        <v/>
      </c>
      <c r="B17" s="34">
        <f t="shared" si="2"/>
        <v>1</v>
      </c>
      <c r="C17" s="35">
        <f t="shared" si="3"/>
        <v>42370</v>
      </c>
      <c r="D17" s="212" t="s">
        <v>861</v>
      </c>
      <c r="E17" s="35">
        <v>42370</v>
      </c>
      <c r="F17" s="144" t="s">
        <v>236</v>
      </c>
      <c r="G17" s="191" t="s">
        <v>105</v>
      </c>
      <c r="H17" s="198" t="s">
        <v>1423</v>
      </c>
      <c r="I17" s="186"/>
      <c r="J17" s="186"/>
      <c r="K17" s="185"/>
      <c r="L17" s="186"/>
      <c r="M17" s="36">
        <v>416000000</v>
      </c>
      <c r="N17" s="37" t="s">
        <v>812</v>
      </c>
      <c r="O17" s="37" t="s">
        <v>34</v>
      </c>
      <c r="P17" s="47" t="str">
        <f>IF(AND('331-CT'!$F$5=TH!H17,OR(N17="331",O17="331")),"x","")</f>
        <v/>
      </c>
      <c r="Q17" s="47" t="str">
        <f>IF(AND(B17='111'!$L$11,OR($N17=$Q$7,$O17=$Q$7)),"x","")</f>
        <v/>
      </c>
      <c r="R17" s="47" t="str">
        <f>IF(AND($N17=$Q$7,$B17&lt;'111'!$L$11),"x","")</f>
        <v/>
      </c>
      <c r="S17" s="47" t="str">
        <f>IF(AND($O17=$Q$7,$B17&lt;'111'!$L$11),"x","")</f>
        <v>x</v>
      </c>
    </row>
    <row r="18" spans="1:19" ht="15.75" customHeight="1">
      <c r="A18" s="152" t="str">
        <f>IF(B18&lt;&gt;"",IF(AND(B18='IN-TC'!$S$4,OR(TH!N18="1111",TH!O18="1111")),TH!D18,""),"")</f>
        <v/>
      </c>
      <c r="B18" s="34">
        <f t="shared" si="2"/>
        <v>1</v>
      </c>
      <c r="C18" s="35">
        <f t="shared" si="3"/>
        <v>42370</v>
      </c>
      <c r="D18" s="212" t="s">
        <v>862</v>
      </c>
      <c r="E18" s="35">
        <v>42370</v>
      </c>
      <c r="F18" s="144" t="s">
        <v>237</v>
      </c>
      <c r="G18" s="191" t="s">
        <v>201</v>
      </c>
      <c r="H18" s="198"/>
      <c r="I18" s="186"/>
      <c r="J18" s="186"/>
      <c r="K18" s="185"/>
      <c r="L18" s="186"/>
      <c r="M18" s="36">
        <v>960000</v>
      </c>
      <c r="N18" s="37"/>
      <c r="O18" s="37" t="s">
        <v>34</v>
      </c>
      <c r="P18" s="47" t="str">
        <f>IF(AND('331-CT'!$F$5=TH!H18,OR(N18="331",O18="331")),"x","")</f>
        <v/>
      </c>
      <c r="Q18" s="47" t="str">
        <f>IF(AND(B18='111'!$L$11,OR($N18=$Q$7,$O18=$Q$7)),"x","")</f>
        <v/>
      </c>
      <c r="R18" s="47" t="str">
        <f>IF(AND($N18=$Q$7,$B18&lt;'111'!$L$11),"x","")</f>
        <v/>
      </c>
      <c r="S18" s="47" t="str">
        <f>IF(AND($O18=$Q$7,$B18&lt;'111'!$L$11),"x","")</f>
        <v>x</v>
      </c>
    </row>
    <row r="19" spans="1:19" ht="15.75" customHeight="1">
      <c r="A19" s="152" t="str">
        <f>IF(B19&lt;&gt;"",IF(AND(B19='IN-TC'!$S$4,OR(TH!N19="1111",TH!O19="1111")),TH!D19,""),"")</f>
        <v/>
      </c>
      <c r="B19" s="34">
        <f t="shared" si="2"/>
        <v>1</v>
      </c>
      <c r="C19" s="35">
        <f t="shared" si="3"/>
        <v>42370</v>
      </c>
      <c r="D19" s="212" t="s">
        <v>863</v>
      </c>
      <c r="E19" s="35">
        <v>42370</v>
      </c>
      <c r="F19" s="144" t="s">
        <v>238</v>
      </c>
      <c r="G19" s="191" t="s">
        <v>113</v>
      </c>
      <c r="H19" s="198"/>
      <c r="I19" s="186"/>
      <c r="J19" s="186"/>
      <c r="K19" s="185"/>
      <c r="L19" s="186"/>
      <c r="M19" s="36">
        <v>60000000</v>
      </c>
      <c r="N19" s="37"/>
      <c r="O19" s="37" t="s">
        <v>34</v>
      </c>
      <c r="P19" s="47" t="str">
        <f>IF(AND('331-CT'!$F$5=TH!H19,OR(N19="331",O19="331")),"x","")</f>
        <v/>
      </c>
      <c r="Q19" s="47" t="str">
        <f>IF(AND(B19='111'!$L$11,OR($N19=$Q$7,$O19=$Q$7)),"x","")</f>
        <v/>
      </c>
      <c r="R19" s="47" t="str">
        <f>IF(AND($N19=$Q$7,$B19&lt;'111'!$L$11),"x","")</f>
        <v/>
      </c>
      <c r="S19" s="47" t="str">
        <f>IF(AND($O19=$Q$7,$B19&lt;'111'!$L$11),"x","")</f>
        <v>x</v>
      </c>
    </row>
    <row r="20" spans="1:19" ht="15.75" customHeight="1">
      <c r="A20" s="152" t="str">
        <f>IF(B20&lt;&gt;"",IF(AND(B20='IN-TC'!$S$4,OR(TH!N20="1111",TH!O20="1111")),TH!D20,""),"")</f>
        <v/>
      </c>
      <c r="B20" s="34">
        <f t="shared" si="2"/>
        <v>1</v>
      </c>
      <c r="C20" s="35">
        <f t="shared" si="3"/>
        <v>42370</v>
      </c>
      <c r="D20" s="212" t="s">
        <v>864</v>
      </c>
      <c r="E20" s="35">
        <v>42370</v>
      </c>
      <c r="F20" s="144" t="s">
        <v>239</v>
      </c>
      <c r="G20" s="191" t="s">
        <v>113</v>
      </c>
      <c r="H20" s="198"/>
      <c r="I20" s="186"/>
      <c r="J20" s="186"/>
      <c r="K20" s="185"/>
      <c r="L20" s="186"/>
      <c r="M20" s="36">
        <v>70000000</v>
      </c>
      <c r="N20" s="37"/>
      <c r="O20" s="37" t="s">
        <v>34</v>
      </c>
      <c r="P20" s="47" t="str">
        <f>IF(AND('331-CT'!$F$5=TH!H20,OR(N20="331",O20="331")),"x","")</f>
        <v/>
      </c>
      <c r="Q20" s="47" t="str">
        <f>IF(AND(B20='111'!$L$11,OR($N20=$Q$7,$O20=$Q$7)),"x","")</f>
        <v/>
      </c>
      <c r="R20" s="47" t="str">
        <f>IF(AND($N20=$Q$7,$B20&lt;'111'!$L$11),"x","")</f>
        <v/>
      </c>
      <c r="S20" s="47" t="str">
        <f>IF(AND($O20=$Q$7,$B20&lt;'111'!$L$11),"x","")</f>
        <v>x</v>
      </c>
    </row>
    <row r="21" spans="1:19" ht="15.75" customHeight="1">
      <c r="A21" s="152" t="str">
        <f>IF(B21&lt;&gt;"",IF(AND(B21='IN-TC'!$S$4,OR(TH!N21="1111",TH!O21="1111")),TH!D21,""),"")</f>
        <v/>
      </c>
      <c r="B21" s="34">
        <f t="shared" si="2"/>
        <v>1</v>
      </c>
      <c r="C21" s="35">
        <f t="shared" si="3"/>
        <v>42370</v>
      </c>
      <c r="D21" s="212" t="s">
        <v>865</v>
      </c>
      <c r="E21" s="35">
        <v>42370</v>
      </c>
      <c r="F21" s="144" t="s">
        <v>240</v>
      </c>
      <c r="G21" s="191" t="s">
        <v>202</v>
      </c>
      <c r="H21" s="198"/>
      <c r="I21" s="186"/>
      <c r="J21" s="186"/>
      <c r="K21" s="185"/>
      <c r="L21" s="186"/>
      <c r="M21" s="36">
        <v>52716000</v>
      </c>
      <c r="N21" s="37"/>
      <c r="O21" s="37" t="s">
        <v>34</v>
      </c>
      <c r="P21" s="47" t="str">
        <f>IF(AND('331-CT'!$F$5=TH!H21,OR(N21="331",O21="331")),"x","")</f>
        <v/>
      </c>
      <c r="Q21" s="47" t="str">
        <f>IF(AND(B21='111'!$L$11,OR($N21=$Q$7,$O21=$Q$7)),"x","")</f>
        <v/>
      </c>
      <c r="R21" s="47" t="str">
        <f>IF(AND($N21=$Q$7,$B21&lt;'111'!$L$11),"x","")</f>
        <v/>
      </c>
      <c r="S21" s="47" t="str">
        <f>IF(AND($O21=$Q$7,$B21&lt;'111'!$L$11),"x","")</f>
        <v>x</v>
      </c>
    </row>
    <row r="22" spans="1:19" ht="15.75" customHeight="1">
      <c r="A22" s="152" t="str">
        <f>IF(B22&lt;&gt;"",IF(AND(B22='IN-TC'!$S$4,OR(TH!N22="1111",TH!O22="1111")),TH!D22,""),"")</f>
        <v/>
      </c>
      <c r="B22" s="34">
        <f t="shared" si="2"/>
        <v>1</v>
      </c>
      <c r="C22" s="35">
        <f t="shared" si="3"/>
        <v>42370</v>
      </c>
      <c r="D22" s="212" t="s">
        <v>866</v>
      </c>
      <c r="E22" s="35">
        <v>42370</v>
      </c>
      <c r="F22" s="144" t="s">
        <v>1382</v>
      </c>
      <c r="G22" s="191" t="s">
        <v>203</v>
      </c>
      <c r="H22" s="198" t="s">
        <v>1067</v>
      </c>
      <c r="I22" s="186"/>
      <c r="J22" s="186"/>
      <c r="K22" s="185"/>
      <c r="L22" s="186"/>
      <c r="M22" s="36">
        <v>10517000</v>
      </c>
      <c r="N22" s="37" t="s">
        <v>814</v>
      </c>
      <c r="O22" s="37" t="s">
        <v>34</v>
      </c>
      <c r="P22" s="47" t="str">
        <f>IF(AND('331-CT'!$F$5=TH!H22,OR(N22="331",O22="331")),"x","")</f>
        <v/>
      </c>
      <c r="Q22" s="47" t="str">
        <f>IF(AND(B22='111'!$L$11,OR($N22=$Q$7,$O22=$Q$7)),"x","")</f>
        <v/>
      </c>
      <c r="R22" s="47" t="str">
        <f>IF(AND($N22=$Q$7,$B22&lt;'111'!$L$11),"x","")</f>
        <v/>
      </c>
      <c r="S22" s="47" t="str">
        <f>IF(AND($O22=$Q$7,$B22&lt;'111'!$L$11),"x","")</f>
        <v>x</v>
      </c>
    </row>
    <row r="23" spans="1:19" ht="15.75" customHeight="1">
      <c r="A23" s="152" t="str">
        <f>IF(B23&lt;&gt;"",IF(AND(B23='IN-TC'!$S$4,OR(TH!N23="1111",TH!O23="1111")),TH!D23,""),"")</f>
        <v/>
      </c>
      <c r="B23" s="34">
        <f t="shared" si="2"/>
        <v>1</v>
      </c>
      <c r="C23" s="35">
        <f t="shared" si="3"/>
        <v>42370</v>
      </c>
      <c r="D23" s="212" t="s">
        <v>867</v>
      </c>
      <c r="E23" s="35">
        <v>42370</v>
      </c>
      <c r="F23" s="144" t="s">
        <v>241</v>
      </c>
      <c r="G23" s="191" t="s">
        <v>204</v>
      </c>
      <c r="H23" s="198"/>
      <c r="I23" s="186"/>
      <c r="J23" s="186"/>
      <c r="K23" s="185"/>
      <c r="L23" s="186"/>
      <c r="M23" s="36">
        <v>21825000</v>
      </c>
      <c r="N23" s="37"/>
      <c r="O23" s="37" t="s">
        <v>34</v>
      </c>
      <c r="P23" s="47" t="str">
        <f>IF(AND('331-CT'!$F$5=TH!H23,OR(N23="331",O23="331")),"x","")</f>
        <v/>
      </c>
      <c r="Q23" s="47" t="str">
        <f>IF(AND(B23='111'!$L$11,OR($N23=$Q$7,$O23=$Q$7)),"x","")</f>
        <v/>
      </c>
      <c r="R23" s="47" t="str">
        <f>IF(AND($N23=$Q$7,$B23&lt;'111'!$L$11),"x","")</f>
        <v/>
      </c>
      <c r="S23" s="47" t="str">
        <f>IF(AND($O23=$Q$7,$B23&lt;'111'!$L$11),"x","")</f>
        <v>x</v>
      </c>
    </row>
    <row r="24" spans="1:19" ht="15.75" customHeight="1">
      <c r="A24" s="152" t="str">
        <f>IF(B24&lt;&gt;"",IF(AND(B24='IN-TC'!$S$4,OR(TH!N24="1111",TH!O24="1111")),TH!D24,""),"")</f>
        <v/>
      </c>
      <c r="B24" s="34">
        <f t="shared" si="2"/>
        <v>1</v>
      </c>
      <c r="C24" s="35">
        <f t="shared" si="3"/>
        <v>42370</v>
      </c>
      <c r="D24" s="212" t="s">
        <v>868</v>
      </c>
      <c r="E24" s="35">
        <v>42370</v>
      </c>
      <c r="F24" s="144" t="s">
        <v>242</v>
      </c>
      <c r="G24" s="191" t="s">
        <v>205</v>
      </c>
      <c r="H24" s="198"/>
      <c r="I24" s="186"/>
      <c r="J24" s="186"/>
      <c r="K24" s="185"/>
      <c r="L24" s="186"/>
      <c r="M24" s="36">
        <v>120000</v>
      </c>
      <c r="N24" s="37"/>
      <c r="O24" s="37" t="s">
        <v>34</v>
      </c>
      <c r="P24" s="47" t="str">
        <f>IF(AND('331-CT'!$F$5=TH!H24,OR(N24="331",O24="331")),"x","")</f>
        <v/>
      </c>
      <c r="Q24" s="47" t="str">
        <f>IF(AND(B24='111'!$L$11,OR($N24=$Q$7,$O24=$Q$7)),"x","")</f>
        <v/>
      </c>
      <c r="R24" s="47" t="str">
        <f>IF(AND($N24=$Q$7,$B24&lt;'111'!$L$11),"x","")</f>
        <v/>
      </c>
      <c r="S24" s="47" t="str">
        <f>IF(AND($O24=$Q$7,$B24&lt;'111'!$L$11),"x","")</f>
        <v>x</v>
      </c>
    </row>
    <row r="25" spans="1:19" ht="15.75" customHeight="1">
      <c r="A25" s="152" t="str">
        <f>IF(B25&lt;&gt;"",IF(AND(B25='IN-TC'!$S$4,OR(TH!N25="1111",TH!O25="1111")),TH!D25,""),"")</f>
        <v/>
      </c>
      <c r="B25" s="34">
        <f t="shared" si="2"/>
        <v>1</v>
      </c>
      <c r="C25" s="35">
        <f t="shared" si="3"/>
        <v>42373</v>
      </c>
      <c r="D25" s="212"/>
      <c r="E25" s="35">
        <v>42373</v>
      </c>
      <c r="F25" s="144" t="s">
        <v>1502</v>
      </c>
      <c r="G25" s="191" t="s">
        <v>1454</v>
      </c>
      <c r="H25" s="198" t="s">
        <v>846</v>
      </c>
      <c r="I25" s="186">
        <v>1295</v>
      </c>
      <c r="J25" s="186">
        <v>52000</v>
      </c>
      <c r="K25" s="185"/>
      <c r="L25" s="186"/>
      <c r="M25" s="36">
        <f>ROUND(I25*J25,-3)</f>
        <v>67340000</v>
      </c>
      <c r="N25" s="37" t="s">
        <v>1443</v>
      </c>
      <c r="O25" s="37" t="s">
        <v>8</v>
      </c>
      <c r="P25" s="47" t="str">
        <f>IF(AND('331-CT'!$F$5=TH!H25,OR(N25="331",O25="331")),"x","")</f>
        <v/>
      </c>
      <c r="Q25" s="47" t="str">
        <f>IF(AND(B25='111'!$L$11,OR($N25=$Q$7,$O25=$Q$7)),"x","")</f>
        <v/>
      </c>
      <c r="R25" s="47" t="str">
        <f>IF(AND($N25=$Q$7,$B25&lt;'111'!$L$11),"x","")</f>
        <v/>
      </c>
      <c r="S25" s="47" t="str">
        <f>IF(AND($O25=$Q$7,$B25&lt;'111'!$L$11),"x","")</f>
        <v/>
      </c>
    </row>
    <row r="26" spans="1:19" ht="15.75" customHeight="1">
      <c r="A26" s="152" t="str">
        <f>IF(B26&lt;&gt;"",IF(AND(B26='IN-TC'!$S$4,OR(TH!N26="1111",TH!O26="1111")),TH!D26,""),"")</f>
        <v/>
      </c>
      <c r="B26" s="34">
        <f t="shared" si="2"/>
        <v>1</v>
      </c>
      <c r="C26" s="35">
        <f t="shared" si="3"/>
        <v>42373</v>
      </c>
      <c r="D26" s="212"/>
      <c r="E26" s="35">
        <v>42373</v>
      </c>
      <c r="F26" s="144" t="s">
        <v>1503</v>
      </c>
      <c r="G26" s="191" t="s">
        <v>1454</v>
      </c>
      <c r="H26" s="198" t="s">
        <v>846</v>
      </c>
      <c r="I26" s="186">
        <v>270</v>
      </c>
      <c r="J26" s="186">
        <v>15000</v>
      </c>
      <c r="K26" s="185"/>
      <c r="L26" s="186"/>
      <c r="M26" s="36">
        <f>ROUND(I26*J26,-3)</f>
        <v>4050000</v>
      </c>
      <c r="N26" s="37" t="s">
        <v>8</v>
      </c>
      <c r="O26" s="37" t="s">
        <v>1443</v>
      </c>
      <c r="P26" s="47" t="str">
        <f>IF(AND('331-CT'!$F$5=TH!H26,OR(N26="331",O26="331")),"x","")</f>
        <v/>
      </c>
      <c r="Q26" s="47" t="str">
        <f>IF(AND(B26='111'!$L$11,OR($N26=$Q$7,$O26=$Q$7)),"x","")</f>
        <v/>
      </c>
      <c r="R26" s="47" t="str">
        <f>IF(AND($N26=$Q$7,$B26&lt;'111'!$L$11),"x","")</f>
        <v/>
      </c>
      <c r="S26" s="47" t="str">
        <f>IF(AND($O26=$Q$7,$B26&lt;'111'!$L$11),"x","")</f>
        <v/>
      </c>
    </row>
    <row r="27" spans="1:19" ht="15.75" customHeight="1">
      <c r="A27" s="152" t="str">
        <f>IF(B27&lt;&gt;"",IF(AND(B27='IN-TC'!$S$4,OR(TH!N27="1111",TH!O27="1111")),TH!D27,""),"")</f>
        <v/>
      </c>
      <c r="B27" s="34">
        <f t="shared" si="2"/>
        <v>1</v>
      </c>
      <c r="C27" s="35">
        <f t="shared" si="3"/>
        <v>42374</v>
      </c>
      <c r="D27" s="212" t="s">
        <v>869</v>
      </c>
      <c r="E27" s="35">
        <v>42374</v>
      </c>
      <c r="F27" s="144" t="s">
        <v>243</v>
      </c>
      <c r="G27" s="191" t="s">
        <v>206</v>
      </c>
      <c r="H27" s="198" t="s">
        <v>824</v>
      </c>
      <c r="I27" s="186"/>
      <c r="J27" s="186"/>
      <c r="K27" s="185"/>
      <c r="L27" s="186"/>
      <c r="M27" s="36">
        <v>200000000</v>
      </c>
      <c r="N27" s="37" t="s">
        <v>8</v>
      </c>
      <c r="O27" s="37" t="s">
        <v>34</v>
      </c>
      <c r="P27" s="47" t="str">
        <f>IF(AND('331-CT'!$F$5=TH!H27,OR(N27="331",O27="331")),"x","")</f>
        <v/>
      </c>
      <c r="Q27" s="47" t="str">
        <f>IF(AND(B27='111'!$L$11,OR($N27=$Q$7,$O27=$Q$7)),"x","")</f>
        <v/>
      </c>
      <c r="R27" s="47" t="str">
        <f>IF(AND($N27=$Q$7,$B27&lt;'111'!$L$11),"x","")</f>
        <v/>
      </c>
      <c r="S27" s="47" t="str">
        <f>IF(AND($O27=$Q$7,$B27&lt;'111'!$L$11),"x","")</f>
        <v>x</v>
      </c>
    </row>
    <row r="28" spans="1:19" ht="15.75" customHeight="1">
      <c r="A28" s="152" t="str">
        <f>IF(B28&lt;&gt;"",IF(AND(B28='IN-TC'!$S$4,OR(TH!N28="1111",TH!O28="1111")),TH!D28,""),"")</f>
        <v/>
      </c>
      <c r="B28" s="34">
        <f t="shared" si="2"/>
        <v>1</v>
      </c>
      <c r="C28" s="35">
        <f t="shared" si="3"/>
        <v>42374</v>
      </c>
      <c r="D28" s="212" t="s">
        <v>870</v>
      </c>
      <c r="E28" s="35">
        <v>42374</v>
      </c>
      <c r="F28" s="144" t="s">
        <v>244</v>
      </c>
      <c r="G28" s="191" t="s">
        <v>206</v>
      </c>
      <c r="H28" s="198"/>
      <c r="I28" s="186"/>
      <c r="J28" s="186"/>
      <c r="K28" s="185"/>
      <c r="L28" s="186"/>
      <c r="M28" s="36">
        <v>174854000</v>
      </c>
      <c r="N28" s="37" t="s">
        <v>8</v>
      </c>
      <c r="O28" s="37" t="s">
        <v>34</v>
      </c>
      <c r="P28" s="47" t="str">
        <f>IF(AND('331-CT'!$F$5=TH!H28,OR(N28="331",O28="331")),"x","")</f>
        <v/>
      </c>
      <c r="Q28" s="47" t="str">
        <f>IF(AND(B28='111'!$L$11,OR($N28=$Q$7,$O28=$Q$7)),"x","")</f>
        <v/>
      </c>
      <c r="R28" s="47" t="str">
        <f>IF(AND($N28=$Q$7,$B28&lt;'111'!$L$11),"x","")</f>
        <v/>
      </c>
      <c r="S28" s="47" t="str">
        <f>IF(AND($O28=$Q$7,$B28&lt;'111'!$L$11),"x","")</f>
        <v>x</v>
      </c>
    </row>
    <row r="29" spans="1:19" ht="15.75" customHeight="1">
      <c r="A29" s="152" t="str">
        <f>IF(B29&lt;&gt;"",IF(AND(B29='IN-TC'!$S$4,OR(TH!N29="1111",TH!O29="1111")),TH!D29,""),"")</f>
        <v/>
      </c>
      <c r="B29" s="34">
        <f t="shared" si="2"/>
        <v>1</v>
      </c>
      <c r="C29" s="35">
        <f t="shared" si="3"/>
        <v>42374</v>
      </c>
      <c r="D29" s="212" t="s">
        <v>871</v>
      </c>
      <c r="E29" s="35">
        <v>42374</v>
      </c>
      <c r="F29" s="144" t="s">
        <v>245</v>
      </c>
      <c r="G29" s="191" t="s">
        <v>206</v>
      </c>
      <c r="H29" s="198" t="s">
        <v>842</v>
      </c>
      <c r="I29" s="186"/>
      <c r="J29" s="186"/>
      <c r="K29" s="185"/>
      <c r="L29" s="186"/>
      <c r="M29" s="36">
        <v>207060000</v>
      </c>
      <c r="N29" s="37" t="s">
        <v>8</v>
      </c>
      <c r="O29" s="37" t="s">
        <v>34</v>
      </c>
      <c r="P29" s="47" t="str">
        <f>IF(AND('331-CT'!$F$5=TH!H29,OR(N29="331",O29="331")),"x","")</f>
        <v/>
      </c>
      <c r="Q29" s="47" t="str">
        <f>IF(AND(B29='111'!$L$11,OR($N29=$Q$7,$O29=$Q$7)),"x","")</f>
        <v/>
      </c>
      <c r="R29" s="47" t="str">
        <f>IF(AND($N29=$Q$7,$B29&lt;'111'!$L$11),"x","")</f>
        <v/>
      </c>
      <c r="S29" s="47" t="str">
        <f>IF(AND($O29=$Q$7,$B29&lt;'111'!$L$11),"x","")</f>
        <v>x</v>
      </c>
    </row>
    <row r="30" spans="1:19" ht="15.75" customHeight="1">
      <c r="A30" s="152" t="str">
        <f>IF(B30&lt;&gt;"",IF(AND(B30='IN-TC'!$S$4,OR(TH!N30="1111",TH!O30="1111")),TH!D30,""),"")</f>
        <v/>
      </c>
      <c r="B30" s="34">
        <f t="shared" si="2"/>
        <v>1</v>
      </c>
      <c r="C30" s="35">
        <f t="shared" si="3"/>
        <v>42374</v>
      </c>
      <c r="D30" s="212" t="s">
        <v>872</v>
      </c>
      <c r="E30" s="35">
        <v>42374</v>
      </c>
      <c r="F30" s="144" t="s">
        <v>246</v>
      </c>
      <c r="G30" s="191" t="s">
        <v>207</v>
      </c>
      <c r="H30" s="198"/>
      <c r="I30" s="186"/>
      <c r="J30" s="186"/>
      <c r="K30" s="185"/>
      <c r="L30" s="186"/>
      <c r="M30" s="36">
        <v>2000000</v>
      </c>
      <c r="N30" s="37"/>
      <c r="O30" s="37" t="s">
        <v>34</v>
      </c>
      <c r="P30" s="47" t="str">
        <f>IF(AND('331-CT'!$F$5=TH!H30,OR(N30="331",O30="331")),"x","")</f>
        <v/>
      </c>
      <c r="Q30" s="47" t="str">
        <f>IF(AND(B30='111'!$L$11,OR($N30=$Q$7,$O30=$Q$7)),"x","")</f>
        <v/>
      </c>
      <c r="R30" s="47" t="str">
        <f>IF(AND($N30=$Q$7,$B30&lt;'111'!$L$11),"x","")</f>
        <v/>
      </c>
      <c r="S30" s="47" t="str">
        <f>IF(AND($O30=$Q$7,$B30&lt;'111'!$L$11),"x","")</f>
        <v>x</v>
      </c>
    </row>
    <row r="31" spans="1:19" ht="15.75" customHeight="1">
      <c r="A31" s="152" t="str">
        <f>IF(B31&lt;&gt;"",IF(AND(B31='IN-TC'!$S$4,OR(TH!N31="1111",TH!O31="1111")),TH!D31,""),"")</f>
        <v/>
      </c>
      <c r="B31" s="34">
        <f t="shared" si="2"/>
        <v>1</v>
      </c>
      <c r="C31" s="35">
        <f t="shared" si="3"/>
        <v>42374</v>
      </c>
      <c r="D31" s="212" t="s">
        <v>873</v>
      </c>
      <c r="E31" s="35">
        <v>42374</v>
      </c>
      <c r="F31" s="144" t="s">
        <v>247</v>
      </c>
      <c r="G31" s="191" t="s">
        <v>207</v>
      </c>
      <c r="H31" s="198"/>
      <c r="I31" s="186"/>
      <c r="J31" s="186"/>
      <c r="K31" s="185"/>
      <c r="L31" s="186"/>
      <c r="M31" s="36">
        <v>1000000</v>
      </c>
      <c r="N31" s="37"/>
      <c r="O31" s="37" t="s">
        <v>34</v>
      </c>
      <c r="P31" s="47" t="str">
        <f>IF(AND('331-CT'!$F$5=TH!H31,OR(N31="331",O31="331")),"x","")</f>
        <v/>
      </c>
      <c r="Q31" s="47" t="str">
        <f>IF(AND(B31='111'!$L$11,OR($N31=$Q$7,$O31=$Q$7)),"x","")</f>
        <v/>
      </c>
      <c r="R31" s="47" t="str">
        <f>IF(AND($N31=$Q$7,$B31&lt;'111'!$L$11),"x","")</f>
        <v/>
      </c>
      <c r="S31" s="47" t="str">
        <f>IF(AND($O31=$Q$7,$B31&lt;'111'!$L$11),"x","")</f>
        <v>x</v>
      </c>
    </row>
    <row r="32" spans="1:19" ht="15.75" customHeight="1">
      <c r="A32" s="152" t="str">
        <f>IF(B32&lt;&gt;"",IF(AND(B32='IN-TC'!$S$4,OR(TH!N32="1111",TH!O32="1111")),TH!D32,""),"")</f>
        <v/>
      </c>
      <c r="B32" s="34">
        <f t="shared" si="2"/>
        <v>1</v>
      </c>
      <c r="C32" s="35">
        <f t="shared" si="3"/>
        <v>42374</v>
      </c>
      <c r="D32" s="212" t="s">
        <v>874</v>
      </c>
      <c r="E32" s="35">
        <v>42374</v>
      </c>
      <c r="F32" s="144" t="s">
        <v>248</v>
      </c>
      <c r="G32" s="191" t="s">
        <v>202</v>
      </c>
      <c r="H32" s="198"/>
      <c r="I32" s="186"/>
      <c r="J32" s="186"/>
      <c r="K32" s="185"/>
      <c r="L32" s="186"/>
      <c r="M32" s="36">
        <v>4200000</v>
      </c>
      <c r="N32" s="37"/>
      <c r="O32" s="37" t="s">
        <v>34</v>
      </c>
      <c r="P32" s="47" t="str">
        <f>IF(AND('331-CT'!$F$5=TH!H32,OR(N32="331",O32="331")),"x","")</f>
        <v/>
      </c>
      <c r="Q32" s="47" t="str">
        <f>IF(AND(B32='111'!$L$11,OR($N32=$Q$7,$O32=$Q$7)),"x","")</f>
        <v/>
      </c>
      <c r="R32" s="47" t="str">
        <f>IF(AND($N32=$Q$7,$B32&lt;'111'!$L$11),"x","")</f>
        <v/>
      </c>
      <c r="S32" s="47" t="str">
        <f>IF(AND($O32=$Q$7,$B32&lt;'111'!$L$11),"x","")</f>
        <v>x</v>
      </c>
    </row>
    <row r="33" spans="1:19" ht="15.75" customHeight="1">
      <c r="A33" s="152" t="str">
        <f>IF(B33&lt;&gt;"",IF(AND(B33='IN-TC'!$S$4,OR(TH!N33="1111",TH!O33="1111")),TH!D33,""),"")</f>
        <v/>
      </c>
      <c r="B33" s="34">
        <f t="shared" si="2"/>
        <v>1</v>
      </c>
      <c r="C33" s="35">
        <f t="shared" si="3"/>
        <v>42374</v>
      </c>
      <c r="D33" s="212" t="s">
        <v>875</v>
      </c>
      <c r="E33" s="35">
        <v>42374</v>
      </c>
      <c r="F33" s="144" t="s">
        <v>249</v>
      </c>
      <c r="G33" s="191" t="s">
        <v>202</v>
      </c>
      <c r="H33" s="198"/>
      <c r="I33" s="186"/>
      <c r="J33" s="186"/>
      <c r="K33" s="185"/>
      <c r="L33" s="186"/>
      <c r="M33" s="36">
        <v>1280000</v>
      </c>
      <c r="N33" s="37"/>
      <c r="O33" s="37" t="s">
        <v>34</v>
      </c>
      <c r="P33" s="47" t="str">
        <f>IF(AND('331-CT'!$F$5=TH!H33,OR(N33="331",O33="331")),"x","")</f>
        <v/>
      </c>
      <c r="Q33" s="47" t="str">
        <f>IF(AND(B33='111'!$L$11,OR($N33=$Q$7,$O33=$Q$7)),"x","")</f>
        <v/>
      </c>
      <c r="R33" s="47" t="str">
        <f>IF(AND($N33=$Q$7,$B33&lt;'111'!$L$11),"x","")</f>
        <v/>
      </c>
      <c r="S33" s="47" t="str">
        <f>IF(AND($O33=$Q$7,$B33&lt;'111'!$L$11),"x","")</f>
        <v>x</v>
      </c>
    </row>
    <row r="34" spans="1:19" ht="15.75" customHeight="1">
      <c r="A34" s="152" t="str">
        <f>IF(B34&lt;&gt;"",IF(AND(B34='IN-TC'!$S$4,OR(TH!N34="1111",TH!O34="1111")),TH!D34,""),"")</f>
        <v/>
      </c>
      <c r="B34" s="34">
        <f t="shared" si="2"/>
        <v>1</v>
      </c>
      <c r="C34" s="35">
        <f t="shared" si="3"/>
        <v>42374</v>
      </c>
      <c r="D34" s="212" t="s">
        <v>876</v>
      </c>
      <c r="E34" s="35">
        <v>42374</v>
      </c>
      <c r="F34" s="144" t="s">
        <v>250</v>
      </c>
      <c r="G34" s="191" t="s">
        <v>205</v>
      </c>
      <c r="H34" s="198"/>
      <c r="I34" s="186"/>
      <c r="J34" s="186"/>
      <c r="K34" s="185"/>
      <c r="L34" s="186"/>
      <c r="M34" s="36">
        <v>1010000</v>
      </c>
      <c r="N34" s="37"/>
      <c r="O34" s="37" t="s">
        <v>34</v>
      </c>
      <c r="P34" s="47" t="str">
        <f>IF(AND('331-CT'!$F$5=TH!H34,OR(N34="331",O34="331")),"x","")</f>
        <v/>
      </c>
      <c r="Q34" s="47" t="str">
        <f>IF(AND(B34='111'!$L$11,OR($N34=$Q$7,$O34=$Q$7)),"x","")</f>
        <v/>
      </c>
      <c r="R34" s="47" t="str">
        <f>IF(AND($N34=$Q$7,$B34&lt;'111'!$L$11),"x","")</f>
        <v/>
      </c>
      <c r="S34" s="47" t="str">
        <f>IF(AND($O34=$Q$7,$B34&lt;'111'!$L$11),"x","")</f>
        <v>x</v>
      </c>
    </row>
    <row r="35" spans="1:19" ht="15.75" customHeight="1">
      <c r="A35" s="152" t="str">
        <f>IF(B35&lt;&gt;"",IF(AND(B35='IN-TC'!$S$4,OR(TH!N35="1111",TH!O35="1111")),TH!D35,""),"")</f>
        <v/>
      </c>
      <c r="B35" s="34">
        <f t="shared" si="2"/>
        <v>1</v>
      </c>
      <c r="C35" s="35">
        <f t="shared" si="3"/>
        <v>42374</v>
      </c>
      <c r="D35" s="212" t="s">
        <v>877</v>
      </c>
      <c r="E35" s="35">
        <v>42374</v>
      </c>
      <c r="F35" s="144" t="s">
        <v>251</v>
      </c>
      <c r="G35" s="191" t="s">
        <v>205</v>
      </c>
      <c r="H35" s="198"/>
      <c r="I35" s="186"/>
      <c r="J35" s="186"/>
      <c r="K35" s="185"/>
      <c r="L35" s="186"/>
      <c r="M35" s="36">
        <v>224000</v>
      </c>
      <c r="N35" s="37"/>
      <c r="O35" s="37" t="s">
        <v>34</v>
      </c>
      <c r="P35" s="47" t="str">
        <f>IF(AND('331-CT'!$F$5=TH!H35,OR(N35="331",O35="331")),"x","")</f>
        <v/>
      </c>
      <c r="Q35" s="47" t="str">
        <f>IF(AND(B35='111'!$L$11,OR($N35=$Q$7,$O35=$Q$7)),"x","")</f>
        <v/>
      </c>
      <c r="R35" s="47" t="str">
        <f>IF(AND($N35=$Q$7,$B35&lt;'111'!$L$11),"x","")</f>
        <v/>
      </c>
      <c r="S35" s="47" t="str">
        <f>IF(AND($O35=$Q$7,$B35&lt;'111'!$L$11),"x","")</f>
        <v>x</v>
      </c>
    </row>
    <row r="36" spans="1:19" ht="15.75" customHeight="1">
      <c r="A36" s="152" t="str">
        <f>IF(B36&lt;&gt;"",IF(AND(B36='IN-TC'!$S$4,OR(TH!N36="1111",TH!O36="1111")),TH!D36,""),"")</f>
        <v/>
      </c>
      <c r="B36" s="34">
        <f t="shared" si="2"/>
        <v>1</v>
      </c>
      <c r="C36" s="35">
        <f t="shared" si="3"/>
        <v>42374</v>
      </c>
      <c r="D36" s="212" t="s">
        <v>878</v>
      </c>
      <c r="E36" s="35">
        <v>42374</v>
      </c>
      <c r="F36" s="144" t="s">
        <v>252</v>
      </c>
      <c r="G36" s="191" t="s">
        <v>202</v>
      </c>
      <c r="H36" s="198"/>
      <c r="I36" s="186"/>
      <c r="J36" s="186"/>
      <c r="K36" s="185"/>
      <c r="L36" s="186"/>
      <c r="M36" s="36">
        <v>1525000</v>
      </c>
      <c r="N36" s="37"/>
      <c r="O36" s="37" t="s">
        <v>34</v>
      </c>
      <c r="P36" s="47" t="str">
        <f>IF(AND('331-CT'!$F$5=TH!H36,OR(N36="331",O36="331")),"x","")</f>
        <v/>
      </c>
      <c r="Q36" s="47" t="str">
        <f>IF(AND(B36='111'!$L$11,OR($N36=$Q$7,$O36=$Q$7)),"x","")</f>
        <v/>
      </c>
      <c r="R36" s="47" t="str">
        <f>IF(AND($N36=$Q$7,$B36&lt;'111'!$L$11),"x","")</f>
        <v/>
      </c>
      <c r="S36" s="47" t="str">
        <f>IF(AND($O36=$Q$7,$B36&lt;'111'!$L$11),"x","")</f>
        <v>x</v>
      </c>
    </row>
    <row r="37" spans="1:19" ht="15.75" customHeight="1">
      <c r="A37" s="152" t="str">
        <f>IF(B37&lt;&gt;"",IF(AND(B37='IN-TC'!$S$4,OR(TH!N37="1111",TH!O37="1111")),TH!D37,""),"")</f>
        <v/>
      </c>
      <c r="B37" s="34">
        <f t="shared" si="2"/>
        <v>1</v>
      </c>
      <c r="C37" s="35">
        <f t="shared" si="3"/>
        <v>42374</v>
      </c>
      <c r="D37" s="212" t="s">
        <v>879</v>
      </c>
      <c r="E37" s="35">
        <v>42374</v>
      </c>
      <c r="F37" s="144" t="s">
        <v>253</v>
      </c>
      <c r="G37" s="191" t="s">
        <v>205</v>
      </c>
      <c r="H37" s="198"/>
      <c r="I37" s="186"/>
      <c r="J37" s="186"/>
      <c r="K37" s="185"/>
      <c r="L37" s="186"/>
      <c r="M37" s="36">
        <v>200000</v>
      </c>
      <c r="N37" s="37"/>
      <c r="O37" s="37" t="s">
        <v>34</v>
      </c>
      <c r="P37" s="47" t="str">
        <f>IF(AND('331-CT'!$F$5=TH!H37,OR(N37="331",O37="331")),"x","")</f>
        <v/>
      </c>
      <c r="Q37" s="47" t="str">
        <f>IF(AND(B37='111'!$L$11,OR($N37=$Q$7,$O37=$Q$7)),"x","")</f>
        <v/>
      </c>
      <c r="R37" s="47" t="str">
        <f>IF(AND($N37=$Q$7,$B37&lt;'111'!$L$11),"x","")</f>
        <v/>
      </c>
      <c r="S37" s="47" t="str">
        <f>IF(AND($O37=$Q$7,$B37&lt;'111'!$L$11),"x","")</f>
        <v>x</v>
      </c>
    </row>
    <row r="38" spans="1:19" ht="15.75" customHeight="1">
      <c r="A38" s="152" t="str">
        <f>IF(B38&lt;&gt;"",IF(AND(B38='IN-TC'!$S$4,OR(TH!N38="1111",TH!O38="1111")),TH!D38,""),"")</f>
        <v/>
      </c>
      <c r="B38" s="34">
        <f t="shared" si="2"/>
        <v>1</v>
      </c>
      <c r="C38" s="35">
        <f t="shared" si="3"/>
        <v>42375</v>
      </c>
      <c r="D38" s="212" t="s">
        <v>880</v>
      </c>
      <c r="E38" s="35">
        <v>42375</v>
      </c>
      <c r="F38" s="144" t="s">
        <v>254</v>
      </c>
      <c r="G38" s="191" t="s">
        <v>207</v>
      </c>
      <c r="H38" s="198"/>
      <c r="I38" s="186"/>
      <c r="J38" s="186"/>
      <c r="K38" s="185"/>
      <c r="L38" s="186"/>
      <c r="M38" s="36">
        <v>10000000</v>
      </c>
      <c r="N38" s="37"/>
      <c r="O38" s="37" t="s">
        <v>34</v>
      </c>
      <c r="P38" s="47" t="str">
        <f>IF(AND('331-CT'!$F$5=TH!H38,OR(N38="331",O38="331")),"x","")</f>
        <v/>
      </c>
      <c r="Q38" s="47" t="str">
        <f>IF(AND(B38='111'!$L$11,OR($N38=$Q$7,$O38=$Q$7)),"x","")</f>
        <v/>
      </c>
      <c r="R38" s="47" t="str">
        <f>IF(AND($N38=$Q$7,$B38&lt;'111'!$L$11),"x","")</f>
        <v/>
      </c>
      <c r="S38" s="47" t="str">
        <f>IF(AND($O38=$Q$7,$B38&lt;'111'!$L$11),"x","")</f>
        <v>x</v>
      </c>
    </row>
    <row r="39" spans="1:19" ht="15.75" customHeight="1">
      <c r="A39" s="152" t="str">
        <f>IF(B39&lt;&gt;"",IF(AND(B39='IN-TC'!$S$4,OR(TH!N39="1111",TH!O39="1111")),TH!D39,""),"")</f>
        <v/>
      </c>
      <c r="B39" s="34">
        <f t="shared" si="2"/>
        <v>1</v>
      </c>
      <c r="C39" s="35">
        <f t="shared" si="3"/>
        <v>42375</v>
      </c>
      <c r="D39" s="212" t="s">
        <v>881</v>
      </c>
      <c r="E39" s="35">
        <v>42375</v>
      </c>
      <c r="F39" s="144" t="s">
        <v>255</v>
      </c>
      <c r="G39" s="191" t="s">
        <v>207</v>
      </c>
      <c r="H39" s="198"/>
      <c r="I39" s="186"/>
      <c r="J39" s="186"/>
      <c r="K39" s="185"/>
      <c r="L39" s="186"/>
      <c r="M39" s="36">
        <v>5000000</v>
      </c>
      <c r="N39" s="37"/>
      <c r="O39" s="37" t="s">
        <v>34</v>
      </c>
      <c r="P39" s="47" t="str">
        <f>IF(AND('331-CT'!$F$5=TH!H39,OR(N39="331",O39="331")),"x","")</f>
        <v/>
      </c>
      <c r="Q39" s="47" t="str">
        <f>IF(AND(B39='111'!$L$11,OR($N39=$Q$7,$O39=$Q$7)),"x","")</f>
        <v/>
      </c>
      <c r="R39" s="47" t="str">
        <f>IF(AND($N39=$Q$7,$B39&lt;'111'!$L$11),"x","")</f>
        <v/>
      </c>
      <c r="S39" s="47" t="str">
        <f>IF(AND($O39=$Q$7,$B39&lt;'111'!$L$11),"x","")</f>
        <v>x</v>
      </c>
    </row>
    <row r="40" spans="1:19" ht="15.75" customHeight="1">
      <c r="A40" s="152" t="str">
        <f>IF(B40&lt;&gt;"",IF(AND(B40='IN-TC'!$S$4,OR(TH!N40="1111",TH!O40="1111")),TH!D40,""),"")</f>
        <v/>
      </c>
      <c r="B40" s="34">
        <f t="shared" si="2"/>
        <v>1</v>
      </c>
      <c r="C40" s="35">
        <f t="shared" si="3"/>
        <v>42375</v>
      </c>
      <c r="D40" s="212" t="s">
        <v>882</v>
      </c>
      <c r="E40" s="35">
        <v>42375</v>
      </c>
      <c r="F40" s="144" t="s">
        <v>256</v>
      </c>
      <c r="G40" s="191" t="s">
        <v>202</v>
      </c>
      <c r="H40" s="198"/>
      <c r="I40" s="186"/>
      <c r="J40" s="186"/>
      <c r="K40" s="185"/>
      <c r="L40" s="186"/>
      <c r="M40" s="36">
        <v>2500000</v>
      </c>
      <c r="N40" s="37"/>
      <c r="O40" s="37" t="s">
        <v>34</v>
      </c>
      <c r="P40" s="47" t="str">
        <f>IF(AND('331-CT'!$F$5=TH!H40,OR(N40="331",O40="331")),"x","")</f>
        <v/>
      </c>
      <c r="Q40" s="47" t="str">
        <f>IF(AND(B40='111'!$L$11,OR($N40=$Q$7,$O40=$Q$7)),"x","")</f>
        <v/>
      </c>
      <c r="R40" s="47" t="str">
        <f>IF(AND($N40=$Q$7,$B40&lt;'111'!$L$11),"x","")</f>
        <v/>
      </c>
      <c r="S40" s="47" t="str">
        <f>IF(AND($O40=$Q$7,$B40&lt;'111'!$L$11),"x","")</f>
        <v>x</v>
      </c>
    </row>
    <row r="41" spans="1:19" ht="15.75" customHeight="1">
      <c r="A41" s="152" t="str">
        <f>IF(B41&lt;&gt;"",IF(AND(B41='IN-TC'!$S$4,OR(TH!N41="1111",TH!O41="1111")),TH!D41,""),"")</f>
        <v/>
      </c>
      <c r="B41" s="34">
        <f t="shared" si="2"/>
        <v>1</v>
      </c>
      <c r="C41" s="35">
        <f t="shared" si="3"/>
        <v>42375</v>
      </c>
      <c r="D41" s="212" t="s">
        <v>883</v>
      </c>
      <c r="E41" s="35">
        <v>42375</v>
      </c>
      <c r="F41" s="144" t="s">
        <v>257</v>
      </c>
      <c r="G41" s="191" t="s">
        <v>205</v>
      </c>
      <c r="H41" s="198"/>
      <c r="I41" s="186"/>
      <c r="J41" s="186"/>
      <c r="K41" s="185"/>
      <c r="L41" s="186"/>
      <c r="M41" s="36">
        <v>11640000</v>
      </c>
      <c r="N41" s="37"/>
      <c r="O41" s="37" t="s">
        <v>34</v>
      </c>
      <c r="P41" s="47" t="str">
        <f>IF(AND('331-CT'!$F$5=TH!H41,OR(N41="331",O41="331")),"x","")</f>
        <v/>
      </c>
      <c r="Q41" s="47" t="str">
        <f>IF(AND(B41='111'!$L$11,OR($N41=$Q$7,$O41=$Q$7)),"x","")</f>
        <v/>
      </c>
      <c r="R41" s="47" t="str">
        <f>IF(AND($N41=$Q$7,$B41&lt;'111'!$L$11),"x","")</f>
        <v/>
      </c>
      <c r="S41" s="47" t="str">
        <f>IF(AND($O41=$Q$7,$B41&lt;'111'!$L$11),"x","")</f>
        <v>x</v>
      </c>
    </row>
    <row r="42" spans="1:19" ht="15.75" customHeight="1">
      <c r="A42" s="152" t="str">
        <f>IF(B42&lt;&gt;"",IF(AND(B42='IN-TC'!$S$4,OR(TH!N42="1111",TH!O42="1111")),TH!D42,""),"")</f>
        <v/>
      </c>
      <c r="B42" s="34">
        <f t="shared" si="2"/>
        <v>1</v>
      </c>
      <c r="C42" s="35">
        <f t="shared" si="3"/>
        <v>42375</v>
      </c>
      <c r="D42" s="212" t="s">
        <v>884</v>
      </c>
      <c r="E42" s="35">
        <v>42375</v>
      </c>
      <c r="F42" s="144" t="s">
        <v>258</v>
      </c>
      <c r="G42" s="191" t="s">
        <v>205</v>
      </c>
      <c r="H42" s="198"/>
      <c r="I42" s="186"/>
      <c r="J42" s="186"/>
      <c r="K42" s="185"/>
      <c r="L42" s="186"/>
      <c r="M42" s="36">
        <v>2718000</v>
      </c>
      <c r="N42" s="37"/>
      <c r="O42" s="37" t="s">
        <v>34</v>
      </c>
      <c r="P42" s="47" t="str">
        <f>IF(AND('331-CT'!$F$5=TH!H42,OR(N42="331",O42="331")),"x","")</f>
        <v/>
      </c>
      <c r="Q42" s="47" t="str">
        <f>IF(AND(B42='111'!$L$11,OR($N42=$Q$7,$O42=$Q$7)),"x","")</f>
        <v/>
      </c>
      <c r="R42" s="47" t="str">
        <f>IF(AND($N42=$Q$7,$B42&lt;'111'!$L$11),"x","")</f>
        <v/>
      </c>
      <c r="S42" s="47" t="str">
        <f>IF(AND($O42=$Q$7,$B42&lt;'111'!$L$11),"x","")</f>
        <v>x</v>
      </c>
    </row>
    <row r="43" spans="1:19" ht="15.75" customHeight="1">
      <c r="A43" s="152" t="str">
        <f>IF(B43&lt;&gt;"",IF(AND(B43='IN-TC'!$S$4,OR(TH!N43="1111",TH!O43="1111")),TH!D43,""),"")</f>
        <v/>
      </c>
      <c r="B43" s="34">
        <f t="shared" si="2"/>
        <v>1</v>
      </c>
      <c r="C43" s="35">
        <f t="shared" si="3"/>
        <v>42375</v>
      </c>
      <c r="D43" s="212"/>
      <c r="E43" s="35">
        <v>42375</v>
      </c>
      <c r="F43" s="144" t="s">
        <v>1492</v>
      </c>
      <c r="G43" s="191" t="s">
        <v>204</v>
      </c>
      <c r="H43" s="198" t="s">
        <v>828</v>
      </c>
      <c r="I43" s="186">
        <v>114</v>
      </c>
      <c r="J43" s="186">
        <v>200000</v>
      </c>
      <c r="K43" s="185"/>
      <c r="L43" s="186"/>
      <c r="M43" s="36">
        <f>ROUND(I43*J43,-3)</f>
        <v>22800000</v>
      </c>
      <c r="N43" s="37" t="s">
        <v>1443</v>
      </c>
      <c r="O43" s="37" t="s">
        <v>8</v>
      </c>
      <c r="P43" s="47" t="str">
        <f>IF(AND('331-CT'!$F$5=TH!H43,OR(N43="331",O43="331")),"x","")</f>
        <v/>
      </c>
      <c r="Q43" s="47" t="str">
        <f>IF(AND(B43='111'!$L$11,OR($N43=$Q$7,$O43=$Q$7)),"x","")</f>
        <v/>
      </c>
      <c r="R43" s="47" t="str">
        <f>IF(AND($N43=$Q$7,$B43&lt;'111'!$L$11),"x","")</f>
        <v/>
      </c>
      <c r="S43" s="47" t="str">
        <f>IF(AND($O43=$Q$7,$B43&lt;'111'!$L$11),"x","")</f>
        <v/>
      </c>
    </row>
    <row r="44" spans="1:19" ht="15.75" customHeight="1">
      <c r="A44" s="152" t="str">
        <f>IF(B44&lt;&gt;"",IF(AND(B44='IN-TC'!$S$4,OR(TH!N44="1111",TH!O44="1111")),TH!D44,""),"")</f>
        <v/>
      </c>
      <c r="B44" s="34">
        <f t="shared" si="2"/>
        <v>1</v>
      </c>
      <c r="C44" s="35">
        <f t="shared" si="3"/>
        <v>42376</v>
      </c>
      <c r="D44" s="212" t="s">
        <v>885</v>
      </c>
      <c r="E44" s="35">
        <v>42376</v>
      </c>
      <c r="F44" s="144" t="s">
        <v>259</v>
      </c>
      <c r="G44" s="191" t="s">
        <v>208</v>
      </c>
      <c r="H44" s="198"/>
      <c r="I44" s="186"/>
      <c r="J44" s="186"/>
      <c r="K44" s="185"/>
      <c r="L44" s="186"/>
      <c r="M44" s="36">
        <v>3973000</v>
      </c>
      <c r="N44" s="37"/>
      <c r="O44" s="37" t="s">
        <v>34</v>
      </c>
      <c r="P44" s="47" t="str">
        <f>IF(AND('331-CT'!$F$5=TH!H44,OR(N44="331",O44="331")),"x","")</f>
        <v/>
      </c>
      <c r="Q44" s="47" t="str">
        <f>IF(AND(B44='111'!$L$11,OR($N44=$Q$7,$O44=$Q$7)),"x","")</f>
        <v/>
      </c>
      <c r="R44" s="47" t="str">
        <f>IF(AND($N44=$Q$7,$B44&lt;'111'!$L$11),"x","")</f>
        <v/>
      </c>
      <c r="S44" s="47" t="str">
        <f>IF(AND($O44=$Q$7,$B44&lt;'111'!$L$11),"x","")</f>
        <v>x</v>
      </c>
    </row>
    <row r="45" spans="1:19" ht="15.75" customHeight="1">
      <c r="A45" s="152" t="str">
        <f>IF(B45&lt;&gt;"",IF(AND(B45='IN-TC'!$S$4,OR(TH!N45="1111",TH!O45="1111")),TH!D45,""),"")</f>
        <v/>
      </c>
      <c r="B45" s="34">
        <f t="shared" si="2"/>
        <v>1</v>
      </c>
      <c r="C45" s="35">
        <f t="shared" si="3"/>
        <v>42376</v>
      </c>
      <c r="D45" s="212" t="s">
        <v>886</v>
      </c>
      <c r="E45" s="35">
        <v>42376</v>
      </c>
      <c r="F45" s="144" t="s">
        <v>260</v>
      </c>
      <c r="G45" s="191" t="s">
        <v>209</v>
      </c>
      <c r="H45" s="198"/>
      <c r="I45" s="186"/>
      <c r="J45" s="186"/>
      <c r="K45" s="185"/>
      <c r="L45" s="186"/>
      <c r="M45" s="36">
        <v>1560000</v>
      </c>
      <c r="N45" s="37"/>
      <c r="O45" s="37" t="s">
        <v>34</v>
      </c>
      <c r="P45" s="47" t="str">
        <f>IF(AND('331-CT'!$F$5=TH!H45,OR(N45="331",O45="331")),"x","")</f>
        <v/>
      </c>
      <c r="Q45" s="47" t="str">
        <f>IF(AND(B45='111'!$L$11,OR($N45=$Q$7,$O45=$Q$7)),"x","")</f>
        <v/>
      </c>
      <c r="R45" s="47" t="str">
        <f>IF(AND($N45=$Q$7,$B45&lt;'111'!$L$11),"x","")</f>
        <v/>
      </c>
      <c r="S45" s="47" t="str">
        <f>IF(AND($O45=$Q$7,$B45&lt;'111'!$L$11),"x","")</f>
        <v>x</v>
      </c>
    </row>
    <row r="46" spans="1:19" ht="15.75" customHeight="1">
      <c r="A46" s="152" t="str">
        <f>IF(B46&lt;&gt;"",IF(AND(B46='IN-TC'!$S$4,OR(TH!N46="1111",TH!O46="1111")),TH!D46,""),"")</f>
        <v/>
      </c>
      <c r="B46" s="34">
        <f t="shared" si="2"/>
        <v>1</v>
      </c>
      <c r="C46" s="35">
        <f t="shared" si="3"/>
        <v>42376</v>
      </c>
      <c r="D46" s="212" t="s">
        <v>887</v>
      </c>
      <c r="E46" s="35">
        <v>42376</v>
      </c>
      <c r="F46" s="144" t="s">
        <v>1395</v>
      </c>
      <c r="G46" s="191" t="s">
        <v>206</v>
      </c>
      <c r="H46" s="198" t="s">
        <v>847</v>
      </c>
      <c r="I46" s="186"/>
      <c r="J46" s="186"/>
      <c r="K46" s="185"/>
      <c r="L46" s="186"/>
      <c r="M46" s="36">
        <v>100000000</v>
      </c>
      <c r="N46" s="37" t="s">
        <v>8</v>
      </c>
      <c r="O46" s="37" t="s">
        <v>34</v>
      </c>
      <c r="P46" s="47" t="str">
        <f>IF(AND('331-CT'!$F$5=TH!H46,OR(N46="331",O46="331")),"x","")</f>
        <v/>
      </c>
      <c r="Q46" s="47" t="str">
        <f>IF(AND(B46='111'!$L$11,OR($N46=$Q$7,$O46=$Q$7)),"x","")</f>
        <v/>
      </c>
      <c r="R46" s="47" t="str">
        <f>IF(AND($N46=$Q$7,$B46&lt;'111'!$L$11),"x","")</f>
        <v/>
      </c>
      <c r="S46" s="47" t="str">
        <f>IF(AND($O46=$Q$7,$B46&lt;'111'!$L$11),"x","")</f>
        <v>x</v>
      </c>
    </row>
    <row r="47" spans="1:19" ht="15.75" customHeight="1">
      <c r="A47" s="152" t="str">
        <f>IF(B47&lt;&gt;"",IF(AND(B47='IN-TC'!$S$4,OR(TH!N47="1111",TH!O47="1111")),TH!D47,""),"")</f>
        <v/>
      </c>
      <c r="B47" s="34">
        <f t="shared" si="2"/>
        <v>1</v>
      </c>
      <c r="C47" s="35">
        <f t="shared" si="3"/>
        <v>42376</v>
      </c>
      <c r="D47" s="212" t="s">
        <v>888</v>
      </c>
      <c r="E47" s="35">
        <v>42376</v>
      </c>
      <c r="F47" s="144" t="s">
        <v>261</v>
      </c>
      <c r="G47" s="191" t="s">
        <v>206</v>
      </c>
      <c r="H47" s="198" t="s">
        <v>822</v>
      </c>
      <c r="I47" s="186"/>
      <c r="J47" s="186"/>
      <c r="K47" s="185"/>
      <c r="L47" s="186"/>
      <c r="M47" s="36">
        <v>100000000</v>
      </c>
      <c r="N47" s="37" t="s">
        <v>8</v>
      </c>
      <c r="O47" s="37" t="s">
        <v>34</v>
      </c>
      <c r="P47" s="47" t="str">
        <f>IF(AND('331-CT'!$F$5=TH!H47,OR(N47="331",O47="331")),"x","")</f>
        <v/>
      </c>
      <c r="Q47" s="47" t="str">
        <f>IF(AND(B47='111'!$L$11,OR($N47=$Q$7,$O47=$Q$7)),"x","")</f>
        <v/>
      </c>
      <c r="R47" s="47" t="str">
        <f>IF(AND($N47=$Q$7,$B47&lt;'111'!$L$11),"x","")</f>
        <v/>
      </c>
      <c r="S47" s="47" t="str">
        <f>IF(AND($O47=$Q$7,$B47&lt;'111'!$L$11),"x","")</f>
        <v>x</v>
      </c>
    </row>
    <row r="48" spans="1:19" ht="15.75" customHeight="1">
      <c r="A48" s="152" t="str">
        <f>IF(B48&lt;&gt;"",IF(AND(B48='IN-TC'!$S$4,OR(TH!N48="1111",TH!O48="1111")),TH!D48,""),"")</f>
        <v/>
      </c>
      <c r="B48" s="34">
        <f t="shared" si="2"/>
        <v>1</v>
      </c>
      <c r="C48" s="35">
        <f t="shared" si="3"/>
        <v>42376</v>
      </c>
      <c r="D48" s="212" t="s">
        <v>889</v>
      </c>
      <c r="E48" s="35">
        <v>42376</v>
      </c>
      <c r="F48" s="144" t="s">
        <v>262</v>
      </c>
      <c r="G48" s="191" t="s">
        <v>104</v>
      </c>
      <c r="H48" s="198"/>
      <c r="I48" s="186"/>
      <c r="J48" s="186"/>
      <c r="K48" s="185"/>
      <c r="L48" s="186"/>
      <c r="M48" s="36">
        <v>50000000</v>
      </c>
      <c r="N48" s="37"/>
      <c r="O48" s="37" t="s">
        <v>34</v>
      </c>
      <c r="P48" s="47" t="str">
        <f>IF(AND('331-CT'!$F$5=TH!H48,OR(N48="331",O48="331")),"x","")</f>
        <v/>
      </c>
      <c r="Q48" s="47" t="str">
        <f>IF(AND(B48='111'!$L$11,OR($N48=$Q$7,$O48=$Q$7)),"x","")</f>
        <v/>
      </c>
      <c r="R48" s="47" t="str">
        <f>IF(AND($N48=$Q$7,$B48&lt;'111'!$L$11),"x","")</f>
        <v/>
      </c>
      <c r="S48" s="47" t="str">
        <f>IF(AND($O48=$Q$7,$B48&lt;'111'!$L$11),"x","")</f>
        <v>x</v>
      </c>
    </row>
    <row r="49" spans="1:19" ht="15.75" customHeight="1">
      <c r="A49" s="152" t="str">
        <f>IF(B49&lt;&gt;"",IF(AND(B49='IN-TC'!$S$4,OR(TH!N49="1111",TH!O49="1111")),TH!D49,""),"")</f>
        <v/>
      </c>
      <c r="B49" s="34">
        <f t="shared" si="2"/>
        <v>1</v>
      </c>
      <c r="C49" s="35">
        <f t="shared" si="3"/>
        <v>42376</v>
      </c>
      <c r="D49" s="212" t="s">
        <v>890</v>
      </c>
      <c r="E49" s="35">
        <v>42376</v>
      </c>
      <c r="F49" s="144" t="s">
        <v>263</v>
      </c>
      <c r="G49" s="191" t="s">
        <v>207</v>
      </c>
      <c r="H49" s="198"/>
      <c r="I49" s="186"/>
      <c r="J49" s="186"/>
      <c r="K49" s="185"/>
      <c r="L49" s="186"/>
      <c r="M49" s="36">
        <v>35000000</v>
      </c>
      <c r="N49" s="37"/>
      <c r="O49" s="37" t="s">
        <v>34</v>
      </c>
      <c r="P49" s="47" t="str">
        <f>IF(AND('331-CT'!$F$5=TH!H49,OR(N49="331",O49="331")),"x","")</f>
        <v/>
      </c>
      <c r="Q49" s="47" t="str">
        <f>IF(AND(B49='111'!$L$11,OR($N49=$Q$7,$O49=$Q$7)),"x","")</f>
        <v/>
      </c>
      <c r="R49" s="47" t="str">
        <f>IF(AND($N49=$Q$7,$B49&lt;'111'!$L$11),"x","")</f>
        <v/>
      </c>
      <c r="S49" s="47" t="str">
        <f>IF(AND($O49=$Q$7,$B49&lt;'111'!$L$11),"x","")</f>
        <v>x</v>
      </c>
    </row>
    <row r="50" spans="1:19" ht="15.75" customHeight="1">
      <c r="A50" s="152" t="str">
        <f>IF(B50&lt;&gt;"",IF(AND(B50='IN-TC'!$S$4,OR(TH!N50="1111",TH!O50="1111")),TH!D50,""),"")</f>
        <v/>
      </c>
      <c r="B50" s="34">
        <f t="shared" si="2"/>
        <v>1</v>
      </c>
      <c r="C50" s="35">
        <f t="shared" si="3"/>
        <v>42376</v>
      </c>
      <c r="D50" s="212" t="s">
        <v>891</v>
      </c>
      <c r="E50" s="35">
        <v>42376</v>
      </c>
      <c r="F50" s="144" t="s">
        <v>264</v>
      </c>
      <c r="G50" s="191" t="s">
        <v>210</v>
      </c>
      <c r="H50" s="198"/>
      <c r="I50" s="186"/>
      <c r="J50" s="186"/>
      <c r="K50" s="185"/>
      <c r="L50" s="186"/>
      <c r="M50" s="36">
        <v>16500000</v>
      </c>
      <c r="N50" s="37"/>
      <c r="O50" s="37" t="s">
        <v>34</v>
      </c>
      <c r="P50" s="47" t="str">
        <f>IF(AND('331-CT'!$F$5=TH!H50,OR(N50="331",O50="331")),"x","")</f>
        <v/>
      </c>
      <c r="Q50" s="47" t="str">
        <f>IF(AND(B50='111'!$L$11,OR($N50=$Q$7,$O50=$Q$7)),"x","")</f>
        <v/>
      </c>
      <c r="R50" s="47" t="str">
        <f>IF(AND($N50=$Q$7,$B50&lt;'111'!$L$11),"x","")</f>
        <v/>
      </c>
      <c r="S50" s="47" t="str">
        <f>IF(AND($O50=$Q$7,$B50&lt;'111'!$L$11),"x","")</f>
        <v>x</v>
      </c>
    </row>
    <row r="51" spans="1:19" ht="15.75" customHeight="1">
      <c r="A51" s="152" t="str">
        <f>IF(B51&lt;&gt;"",IF(AND(B51='IN-TC'!$S$4,OR(TH!N51="1111",TH!O51="1111")),TH!D51,""),"")</f>
        <v/>
      </c>
      <c r="B51" s="34">
        <f t="shared" si="2"/>
        <v>1</v>
      </c>
      <c r="C51" s="35">
        <f t="shared" si="3"/>
        <v>42376</v>
      </c>
      <c r="D51" s="212" t="s">
        <v>892</v>
      </c>
      <c r="E51" s="35">
        <v>42376</v>
      </c>
      <c r="F51" s="144" t="s">
        <v>265</v>
      </c>
      <c r="G51" s="191" t="s">
        <v>208</v>
      </c>
      <c r="H51" s="198"/>
      <c r="I51" s="186"/>
      <c r="J51" s="186"/>
      <c r="K51" s="185"/>
      <c r="L51" s="186"/>
      <c r="M51" s="36">
        <v>1475000</v>
      </c>
      <c r="N51" s="37"/>
      <c r="O51" s="37" t="s">
        <v>34</v>
      </c>
      <c r="P51" s="47" t="str">
        <f>IF(AND('331-CT'!$F$5=TH!H51,OR(N51="331",O51="331")),"x","")</f>
        <v/>
      </c>
      <c r="Q51" s="47" t="str">
        <f>IF(AND(B51='111'!$L$11,OR($N51=$Q$7,$O51=$Q$7)),"x","")</f>
        <v/>
      </c>
      <c r="R51" s="47" t="str">
        <f>IF(AND($N51=$Q$7,$B51&lt;'111'!$L$11),"x","")</f>
        <v/>
      </c>
      <c r="S51" s="47" t="str">
        <f>IF(AND($O51=$Q$7,$B51&lt;'111'!$L$11),"x","")</f>
        <v>x</v>
      </c>
    </row>
    <row r="52" spans="1:19" ht="15.75" customHeight="1">
      <c r="A52" s="152" t="str">
        <f>IF(B52&lt;&gt;"",IF(AND(B52='IN-TC'!$S$4,OR(TH!N52="1111",TH!O52="1111")),TH!D52,""),"")</f>
        <v/>
      </c>
      <c r="B52" s="34">
        <f t="shared" si="2"/>
        <v>1</v>
      </c>
      <c r="C52" s="35">
        <f t="shared" si="3"/>
        <v>42376</v>
      </c>
      <c r="D52" s="212"/>
      <c r="E52" s="35">
        <v>42376</v>
      </c>
      <c r="F52" s="144" t="s">
        <v>1485</v>
      </c>
      <c r="G52" s="191" t="s">
        <v>1454</v>
      </c>
      <c r="H52" s="198" t="s">
        <v>823</v>
      </c>
      <c r="I52" s="186">
        <v>1720</v>
      </c>
      <c r="J52" s="186">
        <v>55000</v>
      </c>
      <c r="K52" s="185"/>
      <c r="L52" s="186"/>
      <c r="M52" s="36">
        <f>ROUND(I52*J52,0)</f>
        <v>94600000</v>
      </c>
      <c r="N52" s="37" t="s">
        <v>1443</v>
      </c>
      <c r="O52" s="37" t="s">
        <v>8</v>
      </c>
      <c r="P52" s="47" t="str">
        <f>IF(AND('331-CT'!$F$5=TH!H52,OR(N52="331",O52="331")),"x","")</f>
        <v/>
      </c>
      <c r="Q52" s="47" t="str">
        <f>IF(AND(B52='111'!$L$11,OR($N52=$Q$7,$O52=$Q$7)),"x","")</f>
        <v/>
      </c>
      <c r="R52" s="47" t="str">
        <f>IF(AND($N52=$Q$7,$B52&lt;'111'!$L$11),"x","")</f>
        <v/>
      </c>
      <c r="S52" s="47" t="str">
        <f>IF(AND($O52=$Q$7,$B52&lt;'111'!$L$11),"x","")</f>
        <v/>
      </c>
    </row>
    <row r="53" spans="1:19" ht="15.75" customHeight="1">
      <c r="A53" s="152" t="str">
        <f>IF(B53&lt;&gt;"",IF(AND(B53='IN-TC'!$S$4,OR(TH!N53="1111",TH!O53="1111")),TH!D53,""),"")</f>
        <v/>
      </c>
      <c r="B53" s="34">
        <f t="shared" si="2"/>
        <v>1</v>
      </c>
      <c r="C53" s="35">
        <f t="shared" si="3"/>
        <v>42377</v>
      </c>
      <c r="D53" s="212" t="s">
        <v>893</v>
      </c>
      <c r="E53" s="35">
        <v>42377</v>
      </c>
      <c r="F53" s="144" t="s">
        <v>266</v>
      </c>
      <c r="G53" s="191" t="s">
        <v>211</v>
      </c>
      <c r="H53" s="198"/>
      <c r="I53" s="186"/>
      <c r="J53" s="186"/>
      <c r="K53" s="185"/>
      <c r="L53" s="186"/>
      <c r="M53" s="36">
        <v>1524000</v>
      </c>
      <c r="N53" s="37"/>
      <c r="O53" s="37" t="s">
        <v>34</v>
      </c>
      <c r="P53" s="47" t="str">
        <f>IF(AND('331-CT'!$F$5=TH!H53,OR(N53="331",O53="331")),"x","")</f>
        <v/>
      </c>
      <c r="Q53" s="47" t="str">
        <f>IF(AND(B53='111'!$L$11,OR($N53=$Q$7,$O53=$Q$7)),"x","")</f>
        <v/>
      </c>
      <c r="R53" s="47" t="str">
        <f>IF(AND($N53=$Q$7,$B53&lt;'111'!$L$11),"x","")</f>
        <v/>
      </c>
      <c r="S53" s="47" t="str">
        <f>IF(AND($O53=$Q$7,$B53&lt;'111'!$L$11),"x","")</f>
        <v>x</v>
      </c>
    </row>
    <row r="54" spans="1:19" ht="15.75" customHeight="1">
      <c r="A54" s="152" t="str">
        <f>IF(B54&lt;&gt;"",IF(AND(B54='IN-TC'!$S$4,OR(TH!N54="1111",TH!O54="1111")),TH!D54,""),"")</f>
        <v/>
      </c>
      <c r="B54" s="34">
        <f t="shared" si="2"/>
        <v>1</v>
      </c>
      <c r="C54" s="35">
        <f t="shared" si="3"/>
        <v>42377</v>
      </c>
      <c r="D54" s="212" t="s">
        <v>894</v>
      </c>
      <c r="E54" s="35">
        <v>42377</v>
      </c>
      <c r="F54" s="144" t="s">
        <v>267</v>
      </c>
      <c r="G54" s="191" t="s">
        <v>205</v>
      </c>
      <c r="H54" s="198"/>
      <c r="I54" s="186"/>
      <c r="J54" s="186"/>
      <c r="K54" s="185"/>
      <c r="L54" s="186"/>
      <c r="M54" s="36">
        <v>5900000</v>
      </c>
      <c r="N54" s="37"/>
      <c r="O54" s="37" t="s">
        <v>34</v>
      </c>
      <c r="P54" s="47" t="str">
        <f>IF(AND('331-CT'!$F$5=TH!H54,OR(N54="331",O54="331")),"x","")</f>
        <v/>
      </c>
      <c r="Q54" s="47" t="str">
        <f>IF(AND(B54='111'!$L$11,OR($N54=$Q$7,$O54=$Q$7)),"x","")</f>
        <v/>
      </c>
      <c r="R54" s="47" t="str">
        <f>IF(AND($N54=$Q$7,$B54&lt;'111'!$L$11),"x","")</f>
        <v/>
      </c>
      <c r="S54" s="47" t="str">
        <f>IF(AND($O54=$Q$7,$B54&lt;'111'!$L$11),"x","")</f>
        <v>x</v>
      </c>
    </row>
    <row r="55" spans="1:19" ht="15.75" customHeight="1">
      <c r="A55" s="152" t="str">
        <f>IF(B55&lt;&gt;"",IF(AND(B55='IN-TC'!$S$4,OR(TH!N55="1111",TH!O55="1111")),TH!D55,""),"")</f>
        <v/>
      </c>
      <c r="B55" s="34">
        <f t="shared" si="2"/>
        <v>1</v>
      </c>
      <c r="C55" s="35">
        <f t="shared" si="3"/>
        <v>42377</v>
      </c>
      <c r="D55" s="212" t="s">
        <v>895</v>
      </c>
      <c r="E55" s="35">
        <v>42377</v>
      </c>
      <c r="F55" s="144" t="s">
        <v>268</v>
      </c>
      <c r="G55" s="191" t="s">
        <v>110</v>
      </c>
      <c r="H55" s="198"/>
      <c r="I55" s="186"/>
      <c r="J55" s="186"/>
      <c r="K55" s="185"/>
      <c r="L55" s="186"/>
      <c r="M55" s="36">
        <v>5000000</v>
      </c>
      <c r="N55" s="37"/>
      <c r="O55" s="37" t="s">
        <v>34</v>
      </c>
      <c r="P55" s="47" t="str">
        <f>IF(AND('331-CT'!$F$5=TH!H55,OR(N55="331",O55="331")),"x","")</f>
        <v/>
      </c>
      <c r="Q55" s="47" t="str">
        <f>IF(AND(B55='111'!$L$11,OR($N55=$Q$7,$O55=$Q$7)),"x","")</f>
        <v/>
      </c>
      <c r="R55" s="47" t="str">
        <f>IF(AND($N55=$Q$7,$B55&lt;'111'!$L$11),"x","")</f>
        <v/>
      </c>
      <c r="S55" s="47" t="str">
        <f>IF(AND($O55=$Q$7,$B55&lt;'111'!$L$11),"x","")</f>
        <v>x</v>
      </c>
    </row>
    <row r="56" spans="1:19" ht="15.75" customHeight="1">
      <c r="A56" s="152" t="str">
        <f>IF(B56&lt;&gt;"",IF(AND(B56='IN-TC'!$S$4,OR(TH!N56="1111",TH!O56="1111")),TH!D56,""),"")</f>
        <v/>
      </c>
      <c r="B56" s="34">
        <f t="shared" si="2"/>
        <v>1</v>
      </c>
      <c r="C56" s="35">
        <f t="shared" si="3"/>
        <v>42377</v>
      </c>
      <c r="D56" s="212" t="s">
        <v>896</v>
      </c>
      <c r="E56" s="35">
        <v>42377</v>
      </c>
      <c r="F56" s="144" t="s">
        <v>269</v>
      </c>
      <c r="G56" s="191" t="s">
        <v>208</v>
      </c>
      <c r="H56" s="198"/>
      <c r="I56" s="186"/>
      <c r="J56" s="186"/>
      <c r="K56" s="185"/>
      <c r="L56" s="186"/>
      <c r="M56" s="36">
        <v>3623000</v>
      </c>
      <c r="N56" s="37"/>
      <c r="O56" s="37" t="s">
        <v>34</v>
      </c>
      <c r="P56" s="47" t="str">
        <f>IF(AND('331-CT'!$F$5=TH!H56,OR(N56="331",O56="331")),"x","")</f>
        <v/>
      </c>
      <c r="Q56" s="47" t="str">
        <f>IF(AND(B56='111'!$L$11,OR($N56=$Q$7,$O56=$Q$7)),"x","")</f>
        <v/>
      </c>
      <c r="R56" s="47" t="str">
        <f>IF(AND($N56=$Q$7,$B56&lt;'111'!$L$11),"x","")</f>
        <v/>
      </c>
      <c r="S56" s="47" t="str">
        <f>IF(AND($O56=$Q$7,$B56&lt;'111'!$L$11),"x","")</f>
        <v>x</v>
      </c>
    </row>
    <row r="57" spans="1:19" ht="15.75" customHeight="1">
      <c r="A57" s="152" t="str">
        <f>IF(B57&lt;&gt;"",IF(AND(B57='IN-TC'!$S$4,OR(TH!N57="1111",TH!O57="1111")),TH!D57,""),"")</f>
        <v/>
      </c>
      <c r="B57" s="34">
        <f t="shared" si="2"/>
        <v>1</v>
      </c>
      <c r="C57" s="35">
        <f t="shared" si="3"/>
        <v>42377</v>
      </c>
      <c r="D57" s="212" t="s">
        <v>897</v>
      </c>
      <c r="E57" s="35">
        <v>42377</v>
      </c>
      <c r="F57" s="144" t="s">
        <v>270</v>
      </c>
      <c r="G57" s="191" t="s">
        <v>207</v>
      </c>
      <c r="H57" s="198"/>
      <c r="I57" s="186"/>
      <c r="J57" s="186"/>
      <c r="K57" s="185"/>
      <c r="L57" s="186"/>
      <c r="M57" s="36">
        <v>404000</v>
      </c>
      <c r="N57" s="37"/>
      <c r="O57" s="37" t="s">
        <v>34</v>
      </c>
      <c r="P57" s="47" t="str">
        <f>IF(AND('331-CT'!$F$5=TH!H57,OR(N57="331",O57="331")),"x","")</f>
        <v/>
      </c>
      <c r="Q57" s="47" t="str">
        <f>IF(AND(B57='111'!$L$11,OR($N57=$Q$7,$O57=$Q$7)),"x","")</f>
        <v/>
      </c>
      <c r="R57" s="47" t="str">
        <f>IF(AND($N57=$Q$7,$B57&lt;'111'!$L$11),"x","")</f>
        <v/>
      </c>
      <c r="S57" s="47" t="str">
        <f>IF(AND($O57=$Q$7,$B57&lt;'111'!$L$11),"x","")</f>
        <v>x</v>
      </c>
    </row>
    <row r="58" spans="1:19" ht="15.75" customHeight="1">
      <c r="A58" s="152" t="str">
        <f>IF(B58&lt;&gt;"",IF(AND(B58='IN-TC'!$S$4,OR(TH!N58="1111",TH!O58="1111")),TH!D58,""),"")</f>
        <v/>
      </c>
      <c r="B58" s="34">
        <f t="shared" si="2"/>
        <v>1</v>
      </c>
      <c r="C58" s="35">
        <f t="shared" si="3"/>
        <v>42378</v>
      </c>
      <c r="D58" s="212" t="s">
        <v>898</v>
      </c>
      <c r="E58" s="35">
        <v>42378</v>
      </c>
      <c r="F58" s="144" t="s">
        <v>271</v>
      </c>
      <c r="G58" s="191" t="s">
        <v>204</v>
      </c>
      <c r="H58" s="198"/>
      <c r="I58" s="186"/>
      <c r="J58" s="186"/>
      <c r="K58" s="185"/>
      <c r="L58" s="186"/>
      <c r="M58" s="36">
        <v>6300000</v>
      </c>
      <c r="N58" s="37"/>
      <c r="O58" s="37" t="s">
        <v>34</v>
      </c>
      <c r="P58" s="47" t="str">
        <f>IF(AND('331-CT'!$F$5=TH!H58,OR(N58="331",O58="331")),"x","")</f>
        <v/>
      </c>
      <c r="Q58" s="47" t="str">
        <f>IF(AND(B58='111'!$L$11,OR($N58=$Q$7,$O58=$Q$7)),"x","")</f>
        <v/>
      </c>
      <c r="R58" s="47" t="str">
        <f>IF(AND($N58=$Q$7,$B58&lt;'111'!$L$11),"x","")</f>
        <v/>
      </c>
      <c r="S58" s="47" t="str">
        <f>IF(AND($O58=$Q$7,$B58&lt;'111'!$L$11),"x","")</f>
        <v>x</v>
      </c>
    </row>
    <row r="59" spans="1:19" ht="15.75" customHeight="1">
      <c r="A59" s="152" t="str">
        <f>IF(B59&lt;&gt;"",IF(AND(B59='IN-TC'!$S$4,OR(TH!N59="1111",TH!O59="1111")),TH!D59,""),"")</f>
        <v/>
      </c>
      <c r="B59" s="34">
        <f t="shared" si="2"/>
        <v>1</v>
      </c>
      <c r="C59" s="35">
        <f t="shared" si="3"/>
        <v>42378</v>
      </c>
      <c r="D59" s="212" t="s">
        <v>899</v>
      </c>
      <c r="E59" s="35">
        <v>42378</v>
      </c>
      <c r="F59" s="144" t="s">
        <v>272</v>
      </c>
      <c r="G59" s="191" t="s">
        <v>205</v>
      </c>
      <c r="H59" s="198"/>
      <c r="I59" s="186"/>
      <c r="J59" s="186"/>
      <c r="K59" s="185"/>
      <c r="L59" s="186"/>
      <c r="M59" s="36">
        <v>5000000</v>
      </c>
      <c r="N59" s="37"/>
      <c r="O59" s="37" t="s">
        <v>34</v>
      </c>
      <c r="P59" s="47" t="str">
        <f>IF(AND('331-CT'!$F$5=TH!H59,OR(N59="331",O59="331")),"x","")</f>
        <v/>
      </c>
      <c r="Q59" s="47" t="str">
        <f>IF(AND(B59='111'!$L$11,OR($N59=$Q$7,$O59=$Q$7)),"x","")</f>
        <v/>
      </c>
      <c r="R59" s="47" t="str">
        <f>IF(AND($N59=$Q$7,$B59&lt;'111'!$L$11),"x","")</f>
        <v/>
      </c>
      <c r="S59" s="47" t="str">
        <f>IF(AND($O59=$Q$7,$B59&lt;'111'!$L$11),"x","")</f>
        <v>x</v>
      </c>
    </row>
    <row r="60" spans="1:19" ht="15.75" customHeight="1">
      <c r="A60" s="152" t="str">
        <f>IF(B60&lt;&gt;"",IF(AND(B60='IN-TC'!$S$4,OR(TH!N60="1111",TH!O60="1111")),TH!D60,""),"")</f>
        <v/>
      </c>
      <c r="B60" s="34">
        <f t="shared" si="2"/>
        <v>1</v>
      </c>
      <c r="C60" s="35">
        <f t="shared" si="3"/>
        <v>42378</v>
      </c>
      <c r="D60" s="212" t="s">
        <v>900</v>
      </c>
      <c r="E60" s="35">
        <v>42378</v>
      </c>
      <c r="F60" s="144" t="s">
        <v>273</v>
      </c>
      <c r="G60" s="191" t="s">
        <v>207</v>
      </c>
      <c r="H60" s="198"/>
      <c r="I60" s="186"/>
      <c r="J60" s="186"/>
      <c r="K60" s="185"/>
      <c r="L60" s="186"/>
      <c r="M60" s="36">
        <v>1000000</v>
      </c>
      <c r="N60" s="37"/>
      <c r="O60" s="37" t="s">
        <v>34</v>
      </c>
      <c r="P60" s="47" t="str">
        <f>IF(AND('331-CT'!$F$5=TH!H60,OR(N60="331",O60="331")),"x","")</f>
        <v/>
      </c>
      <c r="Q60" s="47" t="str">
        <f>IF(AND(B60='111'!$L$11,OR($N60=$Q$7,$O60=$Q$7)),"x","")</f>
        <v/>
      </c>
      <c r="R60" s="47" t="str">
        <f>IF(AND($N60=$Q$7,$B60&lt;'111'!$L$11),"x","")</f>
        <v/>
      </c>
      <c r="S60" s="47" t="str">
        <f>IF(AND($O60=$Q$7,$B60&lt;'111'!$L$11),"x","")</f>
        <v>x</v>
      </c>
    </row>
    <row r="61" spans="1:19" ht="15.75" customHeight="1">
      <c r="A61" s="152" t="str">
        <f>IF(B61&lt;&gt;"",IF(AND(B61='IN-TC'!$S$4,OR(TH!N61="1111",TH!O61="1111")),TH!D61,""),"")</f>
        <v/>
      </c>
      <c r="B61" s="34">
        <f t="shared" si="2"/>
        <v>1</v>
      </c>
      <c r="C61" s="35">
        <f t="shared" si="3"/>
        <v>42378</v>
      </c>
      <c r="D61" s="212" t="s">
        <v>901</v>
      </c>
      <c r="E61" s="35">
        <v>42378</v>
      </c>
      <c r="F61" s="144" t="s">
        <v>274</v>
      </c>
      <c r="G61" s="191" t="s">
        <v>202</v>
      </c>
      <c r="H61" s="198"/>
      <c r="I61" s="186"/>
      <c r="J61" s="186"/>
      <c r="K61" s="185"/>
      <c r="L61" s="186"/>
      <c r="M61" s="36">
        <v>305000</v>
      </c>
      <c r="N61" s="37"/>
      <c r="O61" s="37" t="s">
        <v>34</v>
      </c>
      <c r="P61" s="47" t="str">
        <f>IF(AND('331-CT'!$F$5=TH!H61,OR(N61="331",O61="331")),"x","")</f>
        <v/>
      </c>
      <c r="Q61" s="47" t="str">
        <f>IF(AND(B61='111'!$L$11,OR($N61=$Q$7,$O61=$Q$7)),"x","")</f>
        <v/>
      </c>
      <c r="R61" s="47" t="str">
        <f>IF(AND($N61=$Q$7,$B61&lt;'111'!$L$11),"x","")</f>
        <v/>
      </c>
      <c r="S61" s="47" t="str">
        <f>IF(AND($O61=$Q$7,$B61&lt;'111'!$L$11),"x","")</f>
        <v>x</v>
      </c>
    </row>
    <row r="62" spans="1:19" ht="15.75" customHeight="1">
      <c r="A62" s="152" t="str">
        <f>IF(B62&lt;&gt;"",IF(AND(B62='IN-TC'!$S$4,OR(TH!N62="1111",TH!O62="1111")),TH!D62,""),"")</f>
        <v/>
      </c>
      <c r="B62" s="34">
        <f t="shared" si="2"/>
        <v>1</v>
      </c>
      <c r="C62" s="35">
        <f t="shared" si="3"/>
        <v>42378</v>
      </c>
      <c r="D62" s="212" t="s">
        <v>902</v>
      </c>
      <c r="E62" s="35">
        <v>42378</v>
      </c>
      <c r="F62" s="144" t="s">
        <v>275</v>
      </c>
      <c r="G62" s="191" t="s">
        <v>205</v>
      </c>
      <c r="H62" s="198"/>
      <c r="I62" s="186"/>
      <c r="J62" s="186"/>
      <c r="K62" s="185"/>
      <c r="L62" s="186"/>
      <c r="M62" s="36">
        <v>1625000</v>
      </c>
      <c r="N62" s="37"/>
      <c r="O62" s="37" t="s">
        <v>34</v>
      </c>
      <c r="P62" s="47" t="str">
        <f>IF(AND('331-CT'!$F$5=TH!H62,OR(N62="331",O62="331")),"x","")</f>
        <v/>
      </c>
      <c r="Q62" s="47" t="str">
        <f>IF(AND(B62='111'!$L$11,OR($N62=$Q$7,$O62=$Q$7)),"x","")</f>
        <v/>
      </c>
      <c r="R62" s="47" t="str">
        <f>IF(AND($N62=$Q$7,$B62&lt;'111'!$L$11),"x","")</f>
        <v/>
      </c>
      <c r="S62" s="47" t="str">
        <f>IF(AND($O62=$Q$7,$B62&lt;'111'!$L$11),"x","")</f>
        <v>x</v>
      </c>
    </row>
    <row r="63" spans="1:19" ht="15.75" customHeight="1">
      <c r="A63" s="152" t="str">
        <f>IF(B63&lt;&gt;"",IF(AND(B63='IN-TC'!$S$4,OR(TH!N63="1111",TH!O63="1111")),TH!D63,""),"")</f>
        <v/>
      </c>
      <c r="B63" s="34">
        <f t="shared" si="2"/>
        <v>1</v>
      </c>
      <c r="C63" s="35">
        <f t="shared" si="3"/>
        <v>42378</v>
      </c>
      <c r="D63" s="212" t="s">
        <v>903</v>
      </c>
      <c r="E63" s="35">
        <v>42378</v>
      </c>
      <c r="F63" s="144" t="s">
        <v>276</v>
      </c>
      <c r="G63" s="191" t="s">
        <v>205</v>
      </c>
      <c r="H63" s="198"/>
      <c r="I63" s="186"/>
      <c r="J63" s="186"/>
      <c r="K63" s="185"/>
      <c r="L63" s="186"/>
      <c r="M63" s="36">
        <v>110000</v>
      </c>
      <c r="N63" s="37"/>
      <c r="O63" s="37" t="s">
        <v>34</v>
      </c>
      <c r="P63" s="47" t="str">
        <f>IF(AND('331-CT'!$F$5=TH!H63,OR(N63="331",O63="331")),"x","")</f>
        <v/>
      </c>
      <c r="Q63" s="47" t="str">
        <f>IF(AND(B63='111'!$L$11,OR($N63=$Q$7,$O63=$Q$7)),"x","")</f>
        <v/>
      </c>
      <c r="R63" s="47" t="str">
        <f>IF(AND($N63=$Q$7,$B63&lt;'111'!$L$11),"x","")</f>
        <v/>
      </c>
      <c r="S63" s="47" t="str">
        <f>IF(AND($O63=$Q$7,$B63&lt;'111'!$L$11),"x","")</f>
        <v>x</v>
      </c>
    </row>
    <row r="64" spans="1:19" ht="15.75" customHeight="1">
      <c r="A64" s="152" t="str">
        <f>IF(B64&lt;&gt;"",IF(AND(B64='IN-TC'!$S$4,OR(TH!N64="1111",TH!O64="1111")),TH!D64,""),"")</f>
        <v/>
      </c>
      <c r="B64" s="34">
        <f t="shared" si="2"/>
        <v>1</v>
      </c>
      <c r="C64" s="35">
        <f t="shared" si="3"/>
        <v>42378</v>
      </c>
      <c r="D64" s="212" t="s">
        <v>904</v>
      </c>
      <c r="E64" s="35">
        <v>42378</v>
      </c>
      <c r="F64" s="144" t="s">
        <v>277</v>
      </c>
      <c r="G64" s="191" t="s">
        <v>212</v>
      </c>
      <c r="H64" s="198"/>
      <c r="I64" s="186"/>
      <c r="J64" s="186"/>
      <c r="K64" s="185"/>
      <c r="L64" s="186"/>
      <c r="M64" s="36">
        <v>3450000</v>
      </c>
      <c r="N64" s="37"/>
      <c r="O64" s="37" t="s">
        <v>34</v>
      </c>
      <c r="P64" s="47" t="str">
        <f>IF(AND('331-CT'!$F$5=TH!H64,OR(N64="331",O64="331")),"x","")</f>
        <v/>
      </c>
      <c r="Q64" s="47" t="str">
        <f>IF(AND(B64='111'!$L$11,OR($N64=$Q$7,$O64=$Q$7)),"x","")</f>
        <v/>
      </c>
      <c r="R64" s="47" t="str">
        <f>IF(AND($N64=$Q$7,$B64&lt;'111'!$L$11),"x","")</f>
        <v/>
      </c>
      <c r="S64" s="47" t="str">
        <f>IF(AND($O64=$Q$7,$B64&lt;'111'!$L$11),"x","")</f>
        <v>x</v>
      </c>
    </row>
    <row r="65" spans="1:19" ht="15.75" customHeight="1">
      <c r="A65" s="152" t="str">
        <f>IF(B65&lt;&gt;"",IF(AND(B65='IN-TC'!$S$4,OR(TH!N65="1111",TH!O65="1111")),TH!D65,""),"")</f>
        <v/>
      </c>
      <c r="B65" s="34">
        <f t="shared" si="2"/>
        <v>1</v>
      </c>
      <c r="C65" s="35">
        <f t="shared" si="3"/>
        <v>42380</v>
      </c>
      <c r="D65" s="212" t="s">
        <v>905</v>
      </c>
      <c r="E65" s="35">
        <v>42380</v>
      </c>
      <c r="F65" s="144" t="s">
        <v>1384</v>
      </c>
      <c r="G65" s="191" t="s">
        <v>203</v>
      </c>
      <c r="H65" s="198" t="s">
        <v>1414</v>
      </c>
      <c r="I65" s="186"/>
      <c r="J65" s="186"/>
      <c r="K65" s="185"/>
      <c r="L65" s="186"/>
      <c r="M65" s="36">
        <v>5017000</v>
      </c>
      <c r="N65" s="37" t="s">
        <v>814</v>
      </c>
      <c r="O65" s="37" t="s">
        <v>34</v>
      </c>
      <c r="P65" s="47" t="str">
        <f>IF(AND('331-CT'!$F$5=TH!H65,OR(N65="331",O65="331")),"x","")</f>
        <v/>
      </c>
      <c r="Q65" s="47" t="str">
        <f>IF(AND(B65='111'!$L$11,OR($N65=$Q$7,$O65=$Q$7)),"x","")</f>
        <v/>
      </c>
      <c r="R65" s="47" t="str">
        <f>IF(AND($N65=$Q$7,$B65&lt;'111'!$L$11),"x","")</f>
        <v/>
      </c>
      <c r="S65" s="47" t="str">
        <f>IF(AND($O65=$Q$7,$B65&lt;'111'!$L$11),"x","")</f>
        <v>x</v>
      </c>
    </row>
    <row r="66" spans="1:19" ht="15.75" customHeight="1">
      <c r="A66" s="152" t="str">
        <f>IF(B66&lt;&gt;"",IF(AND(B66='IN-TC'!$S$4,OR(TH!N66="1111",TH!O66="1111")),TH!D66,""),"")</f>
        <v/>
      </c>
      <c r="B66" s="34">
        <f t="shared" si="2"/>
        <v>1</v>
      </c>
      <c r="C66" s="35">
        <f t="shared" si="3"/>
        <v>42380</v>
      </c>
      <c r="D66" s="212" t="s">
        <v>906</v>
      </c>
      <c r="E66" s="35">
        <v>42380</v>
      </c>
      <c r="F66" s="144" t="s">
        <v>278</v>
      </c>
      <c r="G66" s="191" t="s">
        <v>110</v>
      </c>
      <c r="H66" s="198"/>
      <c r="I66" s="186"/>
      <c r="J66" s="186"/>
      <c r="K66" s="185"/>
      <c r="L66" s="186"/>
      <c r="M66" s="36">
        <v>1000000</v>
      </c>
      <c r="N66" s="37"/>
      <c r="O66" s="37" t="s">
        <v>34</v>
      </c>
      <c r="P66" s="47" t="str">
        <f>IF(AND('331-CT'!$F$5=TH!H66,OR(N66="331",O66="331")),"x","")</f>
        <v/>
      </c>
      <c r="Q66" s="47" t="str">
        <f>IF(AND(B66='111'!$L$11,OR($N66=$Q$7,$O66=$Q$7)),"x","")</f>
        <v/>
      </c>
      <c r="R66" s="47" t="str">
        <f>IF(AND($N66=$Q$7,$B66&lt;'111'!$L$11),"x","")</f>
        <v/>
      </c>
      <c r="S66" s="47" t="str">
        <f>IF(AND($O66=$Q$7,$B66&lt;'111'!$L$11),"x","")</f>
        <v>x</v>
      </c>
    </row>
    <row r="67" spans="1:19" ht="15.75" customHeight="1">
      <c r="A67" s="152" t="str">
        <f>IF(B67&lt;&gt;"",IF(AND(B67='IN-TC'!$S$4,OR(TH!N67="1111",TH!O67="1111")),TH!D67,""),"")</f>
        <v/>
      </c>
      <c r="B67" s="34">
        <f t="shared" si="2"/>
        <v>1</v>
      </c>
      <c r="C67" s="35">
        <f t="shared" si="3"/>
        <v>42380</v>
      </c>
      <c r="D67" s="212" t="s">
        <v>907</v>
      </c>
      <c r="E67" s="35">
        <v>42380</v>
      </c>
      <c r="F67" s="144" t="s">
        <v>279</v>
      </c>
      <c r="G67" s="191" t="s">
        <v>205</v>
      </c>
      <c r="H67" s="198"/>
      <c r="I67" s="186"/>
      <c r="J67" s="186"/>
      <c r="K67" s="185"/>
      <c r="L67" s="186"/>
      <c r="M67" s="36">
        <v>371000</v>
      </c>
      <c r="N67" s="37"/>
      <c r="O67" s="37" t="s">
        <v>34</v>
      </c>
      <c r="P67" s="47" t="str">
        <f>IF(AND('331-CT'!$F$5=TH!H67,OR(N67="331",O67="331")),"x","")</f>
        <v/>
      </c>
      <c r="Q67" s="47" t="str">
        <f>IF(AND(B67='111'!$L$11,OR($N67=$Q$7,$O67=$Q$7)),"x","")</f>
        <v/>
      </c>
      <c r="R67" s="47" t="str">
        <f>IF(AND($N67=$Q$7,$B67&lt;'111'!$L$11),"x","")</f>
        <v/>
      </c>
      <c r="S67" s="47" t="str">
        <f>IF(AND($O67=$Q$7,$B67&lt;'111'!$L$11),"x","")</f>
        <v>x</v>
      </c>
    </row>
    <row r="68" spans="1:19" ht="15.75" customHeight="1">
      <c r="A68" s="152" t="str">
        <f>IF(B68&lt;&gt;"",IF(AND(B68='IN-TC'!$S$4,OR(TH!N68="1111",TH!O68="1111")),TH!D68,""),"")</f>
        <v/>
      </c>
      <c r="B68" s="34">
        <f t="shared" si="2"/>
        <v>1</v>
      </c>
      <c r="C68" s="35">
        <f t="shared" si="3"/>
        <v>42380</v>
      </c>
      <c r="D68" s="212" t="s">
        <v>908</v>
      </c>
      <c r="E68" s="35">
        <v>42380</v>
      </c>
      <c r="F68" s="144" t="s">
        <v>280</v>
      </c>
      <c r="G68" s="191" t="s">
        <v>213</v>
      </c>
      <c r="H68" s="198"/>
      <c r="I68" s="186"/>
      <c r="J68" s="186"/>
      <c r="K68" s="185"/>
      <c r="L68" s="186"/>
      <c r="M68" s="36">
        <v>2235000</v>
      </c>
      <c r="N68" s="37"/>
      <c r="O68" s="37" t="s">
        <v>34</v>
      </c>
      <c r="P68" s="47" t="str">
        <f>IF(AND('331-CT'!$F$5=TH!H68,OR(N68="331",O68="331")),"x","")</f>
        <v/>
      </c>
      <c r="Q68" s="47" t="str">
        <f>IF(AND(B68='111'!$L$11,OR($N68=$Q$7,$O68=$Q$7)),"x","")</f>
        <v/>
      </c>
      <c r="R68" s="47" t="str">
        <f>IF(AND($N68=$Q$7,$B68&lt;'111'!$L$11),"x","")</f>
        <v/>
      </c>
      <c r="S68" s="47" t="str">
        <f>IF(AND($O68=$Q$7,$B68&lt;'111'!$L$11),"x","")</f>
        <v>x</v>
      </c>
    </row>
    <row r="69" spans="1:19" ht="15.75" customHeight="1">
      <c r="A69" s="152" t="str">
        <f>IF(B69&lt;&gt;"",IF(AND(B69='IN-TC'!$S$4,OR(TH!N69="1111",TH!O69="1111")),TH!D69,""),"")</f>
        <v/>
      </c>
      <c r="B69" s="34">
        <f t="shared" si="2"/>
        <v>1</v>
      </c>
      <c r="C69" s="35">
        <f t="shared" si="3"/>
        <v>42380</v>
      </c>
      <c r="D69" s="212"/>
      <c r="E69" s="35">
        <v>42380</v>
      </c>
      <c r="F69" s="144" t="s">
        <v>1509</v>
      </c>
      <c r="G69" s="191" t="s">
        <v>1454</v>
      </c>
      <c r="H69" s="198" t="s">
        <v>820</v>
      </c>
      <c r="I69" s="186">
        <v>6.6</v>
      </c>
      <c r="J69" s="186">
        <v>54000</v>
      </c>
      <c r="K69" s="185"/>
      <c r="L69" s="186"/>
      <c r="M69" s="36">
        <f>ROUND(I69*J69,-3)</f>
        <v>356000</v>
      </c>
      <c r="N69" s="37" t="s">
        <v>1443</v>
      </c>
      <c r="O69" s="37" t="s">
        <v>8</v>
      </c>
      <c r="P69" s="47" t="str">
        <f>IF(AND('331-CT'!$F$5=TH!H69,OR(N69="331",O69="331")),"x","")</f>
        <v/>
      </c>
      <c r="Q69" s="47" t="str">
        <f>IF(AND(B69='111'!$L$11,OR($N69=$Q$7,$O69=$Q$7)),"x","")</f>
        <v/>
      </c>
      <c r="R69" s="47" t="str">
        <f>IF(AND($N69=$Q$7,$B69&lt;'111'!$L$11),"x","")</f>
        <v/>
      </c>
      <c r="S69" s="47" t="str">
        <f>IF(AND($O69=$Q$7,$B69&lt;'111'!$L$11),"x","")</f>
        <v/>
      </c>
    </row>
    <row r="70" spans="1:19" ht="15.75" customHeight="1">
      <c r="A70" s="152" t="str">
        <f>IF(B70&lt;&gt;"",IF(AND(B70='IN-TC'!$S$4,OR(TH!N70="1111",TH!O70="1111")),TH!D70,""),"")</f>
        <v/>
      </c>
      <c r="B70" s="34">
        <f t="shared" si="2"/>
        <v>1</v>
      </c>
      <c r="C70" s="35">
        <f t="shared" si="3"/>
        <v>42381</v>
      </c>
      <c r="D70" s="212" t="s">
        <v>909</v>
      </c>
      <c r="E70" s="35">
        <v>42381</v>
      </c>
      <c r="F70" s="144" t="s">
        <v>255</v>
      </c>
      <c r="G70" s="191" t="s">
        <v>207</v>
      </c>
      <c r="H70" s="198"/>
      <c r="I70" s="186"/>
      <c r="J70" s="186"/>
      <c r="K70" s="185"/>
      <c r="L70" s="186"/>
      <c r="M70" s="36">
        <v>32200000</v>
      </c>
      <c r="N70" s="37"/>
      <c r="O70" s="37" t="s">
        <v>34</v>
      </c>
      <c r="P70" s="47" t="str">
        <f>IF(AND('331-CT'!$F$5=TH!H70,OR(N70="331",O70="331")),"x","")</f>
        <v/>
      </c>
      <c r="Q70" s="47" t="str">
        <f>IF(AND(B70='111'!$L$11,OR($N70=$Q$7,$O70=$Q$7)),"x","")</f>
        <v/>
      </c>
      <c r="R70" s="47" t="str">
        <f>IF(AND($N70=$Q$7,$B70&lt;'111'!$L$11),"x","")</f>
        <v/>
      </c>
      <c r="S70" s="47" t="str">
        <f>IF(AND($O70=$Q$7,$B70&lt;'111'!$L$11),"x","")</f>
        <v>x</v>
      </c>
    </row>
    <row r="71" spans="1:19" ht="15.75" customHeight="1">
      <c r="A71" s="152" t="str">
        <f>IF(B71&lt;&gt;"",IF(AND(B71='IN-TC'!$S$4,OR(TH!N71="1111",TH!O71="1111")),TH!D71,""),"")</f>
        <v/>
      </c>
      <c r="B71" s="34">
        <f t="shared" si="2"/>
        <v>1</v>
      </c>
      <c r="C71" s="35">
        <f t="shared" si="3"/>
        <v>42381</v>
      </c>
      <c r="D71" s="212" t="s">
        <v>910</v>
      </c>
      <c r="E71" s="35">
        <v>42381</v>
      </c>
      <c r="F71" s="144" t="s">
        <v>281</v>
      </c>
      <c r="G71" s="191" t="s">
        <v>205</v>
      </c>
      <c r="H71" s="198"/>
      <c r="I71" s="186"/>
      <c r="J71" s="186"/>
      <c r="K71" s="185"/>
      <c r="L71" s="186"/>
      <c r="M71" s="36">
        <v>340000</v>
      </c>
      <c r="N71" s="37"/>
      <c r="O71" s="37" t="s">
        <v>34</v>
      </c>
      <c r="P71" s="47" t="str">
        <f>IF(AND('331-CT'!$F$5=TH!H71,OR(N71="331",O71="331")),"x","")</f>
        <v/>
      </c>
      <c r="Q71" s="47" t="str">
        <f>IF(AND(B71='111'!$L$11,OR($N71=$Q$7,$O71=$Q$7)),"x","")</f>
        <v/>
      </c>
      <c r="R71" s="47" t="str">
        <f>IF(AND($N71=$Q$7,$B71&lt;'111'!$L$11),"x","")</f>
        <v/>
      </c>
      <c r="S71" s="47" t="str">
        <f>IF(AND($O71=$Q$7,$B71&lt;'111'!$L$11),"x","")</f>
        <v>x</v>
      </c>
    </row>
    <row r="72" spans="1:19" ht="15.75" customHeight="1">
      <c r="A72" s="152" t="str">
        <f>IF(B72&lt;&gt;"",IF(AND(B72='IN-TC'!$S$4,OR(TH!N72="1111",TH!O72="1111")),TH!D72,""),"")</f>
        <v/>
      </c>
      <c r="B72" s="34">
        <f t="shared" si="2"/>
        <v>1</v>
      </c>
      <c r="C72" s="35">
        <f t="shared" si="3"/>
        <v>42381</v>
      </c>
      <c r="D72" s="212" t="s">
        <v>911</v>
      </c>
      <c r="E72" s="35">
        <v>42381</v>
      </c>
      <c r="F72" s="144" t="s">
        <v>282</v>
      </c>
      <c r="G72" s="191" t="s">
        <v>214</v>
      </c>
      <c r="H72" s="198"/>
      <c r="I72" s="186"/>
      <c r="J72" s="186"/>
      <c r="K72" s="185"/>
      <c r="L72" s="186"/>
      <c r="M72" s="36">
        <v>360000</v>
      </c>
      <c r="N72" s="37"/>
      <c r="O72" s="37" t="s">
        <v>34</v>
      </c>
      <c r="P72" s="47" t="str">
        <f>IF(AND('331-CT'!$F$5=TH!H72,OR(N72="331",O72="331")),"x","")</f>
        <v/>
      </c>
      <c r="Q72" s="47" t="str">
        <f>IF(AND(B72='111'!$L$11,OR($N72=$Q$7,$O72=$Q$7)),"x","")</f>
        <v/>
      </c>
      <c r="R72" s="47" t="str">
        <f>IF(AND($N72=$Q$7,$B72&lt;'111'!$L$11),"x","")</f>
        <v/>
      </c>
      <c r="S72" s="47" t="str">
        <f>IF(AND($O72=$Q$7,$B72&lt;'111'!$L$11),"x","")</f>
        <v>x</v>
      </c>
    </row>
    <row r="73" spans="1:19" ht="15.75" customHeight="1">
      <c r="A73" s="152" t="str">
        <f>IF(B73&lt;&gt;"",IF(AND(B73='IN-TC'!$S$4,OR(TH!N73="1111",TH!O73="1111")),TH!D73,""),"")</f>
        <v/>
      </c>
      <c r="B73" s="34">
        <f t="shared" si="2"/>
        <v>1</v>
      </c>
      <c r="C73" s="35">
        <f t="shared" si="3"/>
        <v>42381</v>
      </c>
      <c r="D73" s="212" t="s">
        <v>912</v>
      </c>
      <c r="E73" s="35">
        <v>42381</v>
      </c>
      <c r="F73" s="144" t="s">
        <v>283</v>
      </c>
      <c r="G73" s="191" t="s">
        <v>205</v>
      </c>
      <c r="H73" s="198"/>
      <c r="I73" s="186"/>
      <c r="J73" s="186"/>
      <c r="K73" s="185"/>
      <c r="L73" s="186"/>
      <c r="M73" s="36">
        <v>200000</v>
      </c>
      <c r="N73" s="37"/>
      <c r="O73" s="37" t="s">
        <v>34</v>
      </c>
      <c r="P73" s="47" t="str">
        <f>IF(AND('331-CT'!$F$5=TH!H73,OR(N73="331",O73="331")),"x","")</f>
        <v/>
      </c>
      <c r="Q73" s="47" t="str">
        <f>IF(AND(B73='111'!$L$11,OR($N73=$Q$7,$O73=$Q$7)),"x","")</f>
        <v/>
      </c>
      <c r="R73" s="47" t="str">
        <f>IF(AND($N73=$Q$7,$B73&lt;'111'!$L$11),"x","")</f>
        <v/>
      </c>
      <c r="S73" s="47" t="str">
        <f>IF(AND($O73=$Q$7,$B73&lt;'111'!$L$11),"x","")</f>
        <v>x</v>
      </c>
    </row>
    <row r="74" spans="1:19" ht="15.75" customHeight="1">
      <c r="A74" s="152" t="str">
        <f>IF(B74&lt;&gt;"",IF(AND(B74='IN-TC'!$S$4,OR(TH!N74="1111",TH!O74="1111")),TH!D74,""),"")</f>
        <v/>
      </c>
      <c r="B74" s="34">
        <f t="shared" si="2"/>
        <v>1</v>
      </c>
      <c r="C74" s="35">
        <f t="shared" si="3"/>
        <v>42381</v>
      </c>
      <c r="D74" s="212" t="s">
        <v>913</v>
      </c>
      <c r="E74" s="35">
        <v>42381</v>
      </c>
      <c r="F74" s="144" t="s">
        <v>284</v>
      </c>
      <c r="G74" s="191" t="s">
        <v>205</v>
      </c>
      <c r="H74" s="198"/>
      <c r="I74" s="186"/>
      <c r="J74" s="186"/>
      <c r="K74" s="185"/>
      <c r="L74" s="186"/>
      <c r="M74" s="36">
        <v>13365000</v>
      </c>
      <c r="N74" s="37"/>
      <c r="O74" s="37" t="s">
        <v>34</v>
      </c>
      <c r="P74" s="47" t="str">
        <f>IF(AND('331-CT'!$F$5=TH!H74,OR(N74="331",O74="331")),"x","")</f>
        <v/>
      </c>
      <c r="Q74" s="47" t="str">
        <f>IF(AND(B74='111'!$L$11,OR($N74=$Q$7,$O74=$Q$7)),"x","")</f>
        <v/>
      </c>
      <c r="R74" s="47" t="str">
        <f>IF(AND($N74=$Q$7,$B74&lt;'111'!$L$11),"x","")</f>
        <v/>
      </c>
      <c r="S74" s="47" t="str">
        <f>IF(AND($O74=$Q$7,$B74&lt;'111'!$L$11),"x","")</f>
        <v>x</v>
      </c>
    </row>
    <row r="75" spans="1:19" ht="15.75" customHeight="1">
      <c r="A75" s="152" t="str">
        <f>IF(B75&lt;&gt;"",IF(AND(B75='IN-TC'!$S$4,OR(TH!N75="1111",TH!O75="1111")),TH!D75,""),"")</f>
        <v/>
      </c>
      <c r="B75" s="34">
        <f t="shared" si="2"/>
        <v>1</v>
      </c>
      <c r="C75" s="35">
        <f t="shared" si="3"/>
        <v>42381</v>
      </c>
      <c r="D75" s="212" t="s">
        <v>914</v>
      </c>
      <c r="E75" s="35">
        <v>42381</v>
      </c>
      <c r="F75" s="144" t="s">
        <v>285</v>
      </c>
      <c r="G75" s="191" t="s">
        <v>207</v>
      </c>
      <c r="H75" s="198"/>
      <c r="I75" s="186"/>
      <c r="J75" s="186"/>
      <c r="K75" s="185"/>
      <c r="L75" s="186"/>
      <c r="M75" s="36">
        <v>290000</v>
      </c>
      <c r="N75" s="37"/>
      <c r="O75" s="37" t="s">
        <v>34</v>
      </c>
      <c r="P75" s="47" t="str">
        <f>IF(AND('331-CT'!$F$5=TH!H75,OR(N75="331",O75="331")),"x","")</f>
        <v/>
      </c>
      <c r="Q75" s="47" t="str">
        <f>IF(AND(B75='111'!$L$11,OR($N75=$Q$7,$O75=$Q$7)),"x","")</f>
        <v/>
      </c>
      <c r="R75" s="47" t="str">
        <f>IF(AND($N75=$Q$7,$B75&lt;'111'!$L$11),"x","")</f>
        <v/>
      </c>
      <c r="S75" s="47" t="str">
        <f>IF(AND($O75=$Q$7,$B75&lt;'111'!$L$11),"x","")</f>
        <v>x</v>
      </c>
    </row>
    <row r="76" spans="1:19" ht="15.75" customHeight="1">
      <c r="A76" s="152" t="str">
        <f>IF(B76&lt;&gt;"",IF(AND(B76='IN-TC'!$S$4,OR(TH!N76="1111",TH!O76="1111")),TH!D76,""),"")</f>
        <v/>
      </c>
      <c r="B76" s="34">
        <f t="shared" si="2"/>
        <v>1</v>
      </c>
      <c r="C76" s="35">
        <f t="shared" si="3"/>
        <v>42381</v>
      </c>
      <c r="D76" s="212"/>
      <c r="E76" s="35">
        <v>42381</v>
      </c>
      <c r="F76" s="144" t="s">
        <v>1502</v>
      </c>
      <c r="G76" s="191" t="s">
        <v>1454</v>
      </c>
      <c r="H76" s="198" t="s">
        <v>846</v>
      </c>
      <c r="I76" s="186">
        <v>870</v>
      </c>
      <c r="J76" s="186">
        <v>52000</v>
      </c>
      <c r="K76" s="185"/>
      <c r="L76" s="186"/>
      <c r="M76" s="36">
        <f>ROUND(I76*J76,-3)</f>
        <v>45240000</v>
      </c>
      <c r="N76" s="37" t="s">
        <v>1443</v>
      </c>
      <c r="O76" s="37" t="s">
        <v>8</v>
      </c>
      <c r="P76" s="47" t="str">
        <f>IF(AND('331-CT'!$F$5=TH!H76,OR(N76="331",O76="331")),"x","")</f>
        <v/>
      </c>
      <c r="Q76" s="47" t="str">
        <f>IF(AND(B76='111'!$L$11,OR($N76=$Q$7,$O76=$Q$7)),"x","")</f>
        <v/>
      </c>
      <c r="R76" s="47" t="str">
        <f>IF(AND($N76=$Q$7,$B76&lt;'111'!$L$11),"x","")</f>
        <v/>
      </c>
      <c r="S76" s="47" t="str">
        <f>IF(AND($O76=$Q$7,$B76&lt;'111'!$L$11),"x","")</f>
        <v/>
      </c>
    </row>
    <row r="77" spans="1:19" ht="15.75" customHeight="1">
      <c r="A77" s="152" t="str">
        <f>IF(B77&lt;&gt;"",IF(AND(B77='IN-TC'!$S$4,OR(TH!N77="1111",TH!O77="1111")),TH!D77,""),"")</f>
        <v/>
      </c>
      <c r="B77" s="34">
        <f t="shared" ref="B77:B140" si="4">IF(C77&lt;&gt;"",MONTH(C77),"")</f>
        <v>1</v>
      </c>
      <c r="C77" s="35">
        <f t="shared" ref="C77:C140" si="5">E77</f>
        <v>42382</v>
      </c>
      <c r="D77" s="212" t="s">
        <v>915</v>
      </c>
      <c r="E77" s="35">
        <v>42382</v>
      </c>
      <c r="F77" s="144" t="s">
        <v>286</v>
      </c>
      <c r="G77" s="191" t="s">
        <v>207</v>
      </c>
      <c r="H77" s="198"/>
      <c r="I77" s="186"/>
      <c r="J77" s="186"/>
      <c r="K77" s="185"/>
      <c r="L77" s="186"/>
      <c r="M77" s="36">
        <v>1000000</v>
      </c>
      <c r="N77" s="37"/>
      <c r="O77" s="37" t="s">
        <v>34</v>
      </c>
      <c r="P77" s="47" t="str">
        <f>IF(AND('331-CT'!$F$5=TH!H77,OR(N77="331",O77="331")),"x","")</f>
        <v/>
      </c>
      <c r="Q77" s="47" t="str">
        <f>IF(AND(B77='111'!$L$11,OR($N77=$Q$7,$O77=$Q$7)),"x","")</f>
        <v/>
      </c>
      <c r="R77" s="47" t="str">
        <f>IF(AND($N77=$Q$7,$B77&lt;'111'!$L$11),"x","")</f>
        <v/>
      </c>
      <c r="S77" s="47" t="str">
        <f>IF(AND($O77=$Q$7,$B77&lt;'111'!$L$11),"x","")</f>
        <v>x</v>
      </c>
    </row>
    <row r="78" spans="1:19" ht="15.75" customHeight="1">
      <c r="A78" s="152" t="str">
        <f>IF(B78&lt;&gt;"",IF(AND(B78='IN-TC'!$S$4,OR(TH!N78="1111",TH!O78="1111")),TH!D78,""),"")</f>
        <v/>
      </c>
      <c r="B78" s="34">
        <f t="shared" si="4"/>
        <v>1</v>
      </c>
      <c r="C78" s="35">
        <f t="shared" si="5"/>
        <v>42382</v>
      </c>
      <c r="D78" s="212" t="s">
        <v>916</v>
      </c>
      <c r="E78" s="35">
        <v>42382</v>
      </c>
      <c r="F78" s="144" t="s">
        <v>287</v>
      </c>
      <c r="G78" s="191" t="s">
        <v>202</v>
      </c>
      <c r="H78" s="198"/>
      <c r="I78" s="186"/>
      <c r="J78" s="186"/>
      <c r="K78" s="185"/>
      <c r="L78" s="186"/>
      <c r="M78" s="36">
        <v>2402000</v>
      </c>
      <c r="N78" s="37"/>
      <c r="O78" s="37" t="s">
        <v>34</v>
      </c>
      <c r="P78" s="47" t="str">
        <f>IF(AND('331-CT'!$F$5=TH!H78,OR(N78="331",O78="331")),"x","")</f>
        <v/>
      </c>
      <c r="Q78" s="47" t="str">
        <f>IF(AND(B78='111'!$L$11,OR($N78=$Q$7,$O78=$Q$7)),"x","")</f>
        <v/>
      </c>
      <c r="R78" s="47" t="str">
        <f>IF(AND($N78=$Q$7,$B78&lt;'111'!$L$11),"x","")</f>
        <v/>
      </c>
      <c r="S78" s="47" t="str">
        <f>IF(AND($O78=$Q$7,$B78&lt;'111'!$L$11),"x","")</f>
        <v>x</v>
      </c>
    </row>
    <row r="79" spans="1:19" ht="15.75" customHeight="1">
      <c r="A79" s="152" t="str">
        <f>IF(B79&lt;&gt;"",IF(AND(B79='IN-TC'!$S$4,OR(TH!N79="1111",TH!O79="1111")),TH!D79,""),"")</f>
        <v/>
      </c>
      <c r="B79" s="34">
        <f t="shared" si="4"/>
        <v>1</v>
      </c>
      <c r="C79" s="35">
        <f t="shared" si="5"/>
        <v>42382</v>
      </c>
      <c r="D79" s="212" t="s">
        <v>917</v>
      </c>
      <c r="E79" s="35">
        <v>42382</v>
      </c>
      <c r="F79" s="144" t="s">
        <v>288</v>
      </c>
      <c r="G79" s="191" t="s">
        <v>204</v>
      </c>
      <c r="H79" s="198"/>
      <c r="I79" s="186"/>
      <c r="J79" s="186"/>
      <c r="K79" s="185"/>
      <c r="L79" s="186"/>
      <c r="M79" s="36">
        <v>4000000</v>
      </c>
      <c r="N79" s="37"/>
      <c r="O79" s="37" t="s">
        <v>34</v>
      </c>
      <c r="P79" s="47" t="str">
        <f>IF(AND('331-CT'!$F$5=TH!H79,OR(N79="331",O79="331")),"x","")</f>
        <v/>
      </c>
      <c r="Q79" s="47" t="str">
        <f>IF(AND(B79='111'!$L$11,OR($N79=$Q$7,$O79=$Q$7)),"x","")</f>
        <v/>
      </c>
      <c r="R79" s="47" t="str">
        <f>IF(AND($N79=$Q$7,$B79&lt;'111'!$L$11),"x","")</f>
        <v/>
      </c>
      <c r="S79" s="47" t="str">
        <f>IF(AND($O79=$Q$7,$B79&lt;'111'!$L$11),"x","")</f>
        <v>x</v>
      </c>
    </row>
    <row r="80" spans="1:19" ht="15.75" customHeight="1">
      <c r="A80" s="152" t="str">
        <f>IF(B80&lt;&gt;"",IF(AND(B80='IN-TC'!$S$4,OR(TH!N80="1111",TH!O80="1111")),TH!D80,""),"")</f>
        <v/>
      </c>
      <c r="B80" s="34">
        <f t="shared" si="4"/>
        <v>1</v>
      </c>
      <c r="C80" s="35">
        <f t="shared" si="5"/>
        <v>42382</v>
      </c>
      <c r="D80" s="212" t="s">
        <v>918</v>
      </c>
      <c r="E80" s="35">
        <v>42382</v>
      </c>
      <c r="F80" s="144" t="s">
        <v>289</v>
      </c>
      <c r="G80" s="191" t="s">
        <v>215</v>
      </c>
      <c r="H80" s="198"/>
      <c r="I80" s="186"/>
      <c r="J80" s="186"/>
      <c r="K80" s="185"/>
      <c r="L80" s="186"/>
      <c r="M80" s="36">
        <v>5000000</v>
      </c>
      <c r="N80" s="37"/>
      <c r="O80" s="37" t="s">
        <v>34</v>
      </c>
      <c r="P80" s="47" t="str">
        <f>IF(AND('331-CT'!$F$5=TH!H80,OR(N80="331",O80="331")),"x","")</f>
        <v/>
      </c>
      <c r="Q80" s="47" t="str">
        <f>IF(AND(B80='111'!$L$11,OR($N80=$Q$7,$O80=$Q$7)),"x","")</f>
        <v/>
      </c>
      <c r="R80" s="47" t="str">
        <f>IF(AND($N80=$Q$7,$B80&lt;'111'!$L$11),"x","")</f>
        <v/>
      </c>
      <c r="S80" s="47" t="str">
        <f>IF(AND($O80=$Q$7,$B80&lt;'111'!$L$11),"x","")</f>
        <v>x</v>
      </c>
    </row>
    <row r="81" spans="1:19" ht="15.75" customHeight="1">
      <c r="A81" s="152" t="str">
        <f>IF(B81&lt;&gt;"",IF(AND(B81='IN-TC'!$S$4,OR(TH!N81="1111",TH!O81="1111")),TH!D81,""),"")</f>
        <v/>
      </c>
      <c r="B81" s="34">
        <f t="shared" si="4"/>
        <v>1</v>
      </c>
      <c r="C81" s="35">
        <f t="shared" si="5"/>
        <v>42382</v>
      </c>
      <c r="D81" s="212" t="s">
        <v>919</v>
      </c>
      <c r="E81" s="35">
        <v>42382</v>
      </c>
      <c r="F81" s="144" t="s">
        <v>290</v>
      </c>
      <c r="G81" s="191" t="s">
        <v>216</v>
      </c>
      <c r="H81" s="198"/>
      <c r="I81" s="186"/>
      <c r="J81" s="186"/>
      <c r="K81" s="185"/>
      <c r="L81" s="186"/>
      <c r="M81" s="36">
        <v>500000</v>
      </c>
      <c r="N81" s="37"/>
      <c r="O81" s="37" t="s">
        <v>34</v>
      </c>
      <c r="P81" s="47" t="str">
        <f>IF(AND('331-CT'!$F$5=TH!H81,OR(N81="331",O81="331")),"x","")</f>
        <v/>
      </c>
      <c r="Q81" s="47" t="str">
        <f>IF(AND(B81='111'!$L$11,OR($N81=$Q$7,$O81=$Q$7)),"x","")</f>
        <v/>
      </c>
      <c r="R81" s="47" t="str">
        <f>IF(AND($N81=$Q$7,$B81&lt;'111'!$L$11),"x","")</f>
        <v/>
      </c>
      <c r="S81" s="47" t="str">
        <f>IF(AND($O81=$Q$7,$B81&lt;'111'!$L$11),"x","")</f>
        <v>x</v>
      </c>
    </row>
    <row r="82" spans="1:19" ht="15.75" customHeight="1">
      <c r="A82" s="152" t="str">
        <f>IF(B82&lt;&gt;"",IF(AND(B82='IN-TC'!$S$4,OR(TH!N82="1111",TH!O82="1111")),TH!D82,""),"")</f>
        <v/>
      </c>
      <c r="B82" s="34">
        <f t="shared" si="4"/>
        <v>1</v>
      </c>
      <c r="C82" s="35">
        <f t="shared" si="5"/>
        <v>42382</v>
      </c>
      <c r="D82" s="212" t="s">
        <v>920</v>
      </c>
      <c r="E82" s="35">
        <v>42382</v>
      </c>
      <c r="F82" s="144" t="s">
        <v>291</v>
      </c>
      <c r="G82" s="191" t="s">
        <v>214</v>
      </c>
      <c r="H82" s="198"/>
      <c r="I82" s="186"/>
      <c r="J82" s="186"/>
      <c r="K82" s="185"/>
      <c r="L82" s="186"/>
      <c r="M82" s="36">
        <v>530000</v>
      </c>
      <c r="N82" s="37"/>
      <c r="O82" s="37" t="s">
        <v>34</v>
      </c>
      <c r="P82" s="47" t="str">
        <f>IF(AND('331-CT'!$F$5=TH!H82,OR(N82="331",O82="331")),"x","")</f>
        <v/>
      </c>
      <c r="Q82" s="47" t="str">
        <f>IF(AND(B82='111'!$L$11,OR($N82=$Q$7,$O82=$Q$7)),"x","")</f>
        <v/>
      </c>
      <c r="R82" s="47" t="str">
        <f>IF(AND($N82=$Q$7,$B82&lt;'111'!$L$11),"x","")</f>
        <v/>
      </c>
      <c r="S82" s="47" t="str">
        <f>IF(AND($O82=$Q$7,$B82&lt;'111'!$L$11),"x","")</f>
        <v>x</v>
      </c>
    </row>
    <row r="83" spans="1:19" ht="15.75" customHeight="1">
      <c r="A83" s="152" t="str">
        <f>IF(B83&lt;&gt;"",IF(AND(B83='IN-TC'!$S$4,OR(TH!N83="1111",TH!O83="1111")),TH!D83,""),"")</f>
        <v/>
      </c>
      <c r="B83" s="34">
        <f t="shared" si="4"/>
        <v>1</v>
      </c>
      <c r="C83" s="35">
        <f t="shared" si="5"/>
        <v>42383</v>
      </c>
      <c r="D83" s="212"/>
      <c r="E83" s="35">
        <v>42383</v>
      </c>
      <c r="F83" s="144" t="s">
        <v>1485</v>
      </c>
      <c r="G83" s="191" t="s">
        <v>1454</v>
      </c>
      <c r="H83" s="198" t="s">
        <v>823</v>
      </c>
      <c r="I83" s="186">
        <v>2185</v>
      </c>
      <c r="J83" s="186">
        <v>55000</v>
      </c>
      <c r="K83" s="185"/>
      <c r="L83" s="186"/>
      <c r="M83" s="36">
        <f>ROUND(I83*J83,0)</f>
        <v>120175000</v>
      </c>
      <c r="N83" s="37" t="s">
        <v>1443</v>
      </c>
      <c r="O83" s="37" t="s">
        <v>8</v>
      </c>
      <c r="P83" s="47" t="str">
        <f>IF(AND('331-CT'!$F$5=TH!H83,OR(N83="331",O83="331")),"x","")</f>
        <v/>
      </c>
      <c r="Q83" s="47" t="str">
        <f>IF(AND(B83='111'!$L$11,OR($N83=$Q$7,$O83=$Q$7)),"x","")</f>
        <v/>
      </c>
      <c r="R83" s="47" t="str">
        <f>IF(AND($N83=$Q$7,$B83&lt;'111'!$L$11),"x","")</f>
        <v/>
      </c>
      <c r="S83" s="47" t="str">
        <f>IF(AND($O83=$Q$7,$B83&lt;'111'!$L$11),"x","")</f>
        <v/>
      </c>
    </row>
    <row r="84" spans="1:19" ht="15.75" customHeight="1">
      <c r="A84" s="152" t="str">
        <f>IF(B84&lt;&gt;"",IF(AND(B84='IN-TC'!$S$4,OR(TH!N84="1111",TH!O84="1111")),TH!D84,""),"")</f>
        <v/>
      </c>
      <c r="B84" s="34">
        <f t="shared" si="4"/>
        <v>1</v>
      </c>
      <c r="C84" s="35">
        <f t="shared" si="5"/>
        <v>42384</v>
      </c>
      <c r="D84" s="212" t="s">
        <v>935</v>
      </c>
      <c r="E84" s="35">
        <v>42384</v>
      </c>
      <c r="F84" s="144" t="s">
        <v>119</v>
      </c>
      <c r="G84" s="191" t="s">
        <v>204</v>
      </c>
      <c r="H84" s="198" t="s">
        <v>1405</v>
      </c>
      <c r="I84" s="186"/>
      <c r="J84" s="186"/>
      <c r="K84" s="185"/>
      <c r="L84" s="186"/>
      <c r="M84" s="36">
        <v>100000000</v>
      </c>
      <c r="N84" s="37" t="s">
        <v>34</v>
      </c>
      <c r="O84" s="37" t="s">
        <v>35</v>
      </c>
      <c r="P84" s="47" t="str">
        <f>IF(AND('331-CT'!$F$5=TH!H84,OR(N84="331",O84="331")),"x","")</f>
        <v/>
      </c>
      <c r="Q84" s="47" t="str">
        <f>IF(AND(B84='111'!$L$11,OR($N84=$Q$7,$O84=$Q$7)),"x","")</f>
        <v/>
      </c>
      <c r="R84" s="47" t="str">
        <f>IF(AND($N84=$Q$7,$B84&lt;'111'!$L$11),"x","")</f>
        <v>x</v>
      </c>
      <c r="S84" s="47" t="str">
        <f>IF(AND($O84=$Q$7,$B84&lt;'111'!$L$11),"x","")</f>
        <v/>
      </c>
    </row>
    <row r="85" spans="1:19" ht="15.75" customHeight="1">
      <c r="A85" s="152" t="str">
        <f>IF(B85&lt;&gt;"",IF(AND(B85='IN-TC'!$S$4,OR(TH!N85="1111",TH!O85="1111")),TH!D85,""),"")</f>
        <v/>
      </c>
      <c r="B85" s="34">
        <f t="shared" si="4"/>
        <v>1</v>
      </c>
      <c r="C85" s="35">
        <f t="shared" si="5"/>
        <v>42384</v>
      </c>
      <c r="D85" s="212" t="s">
        <v>936</v>
      </c>
      <c r="E85" s="35">
        <v>42384</v>
      </c>
      <c r="F85" s="144" t="s">
        <v>120</v>
      </c>
      <c r="G85" s="191" t="s">
        <v>104</v>
      </c>
      <c r="H85" s="198"/>
      <c r="I85" s="186"/>
      <c r="J85" s="186"/>
      <c r="K85" s="185"/>
      <c r="L85" s="186"/>
      <c r="M85" s="36">
        <v>350000000</v>
      </c>
      <c r="N85" s="37" t="s">
        <v>34</v>
      </c>
      <c r="O85" s="37" t="s">
        <v>1404</v>
      </c>
      <c r="P85" s="47" t="str">
        <f>IF(AND('331-CT'!$F$5=TH!H85,OR(N85="331",O85="331")),"x","")</f>
        <v/>
      </c>
      <c r="Q85" s="47" t="str">
        <f>IF(AND(B85='111'!$L$11,OR($N85=$Q$7,$O85=$Q$7)),"x","")</f>
        <v/>
      </c>
      <c r="R85" s="47" t="str">
        <f>IF(AND($N85=$Q$7,$B85&lt;'111'!$L$11),"x","")</f>
        <v>x</v>
      </c>
      <c r="S85" s="47" t="str">
        <f>IF(AND($O85=$Q$7,$B85&lt;'111'!$L$11),"x","")</f>
        <v/>
      </c>
    </row>
    <row r="86" spans="1:19" ht="15.75" customHeight="1">
      <c r="A86" s="152" t="str">
        <f>IF(B86&lt;&gt;"",IF(AND(B86='IN-TC'!$S$4,OR(TH!N86="1111",TH!O86="1111")),TH!D86,""),"")</f>
        <v/>
      </c>
      <c r="B86" s="34">
        <f t="shared" si="4"/>
        <v>1</v>
      </c>
      <c r="C86" s="35">
        <f t="shared" si="5"/>
        <v>42384</v>
      </c>
      <c r="D86" s="212" t="s">
        <v>937</v>
      </c>
      <c r="E86" s="35">
        <v>42384</v>
      </c>
      <c r="F86" s="144" t="s">
        <v>121</v>
      </c>
      <c r="G86" s="191" t="s">
        <v>104</v>
      </c>
      <c r="H86" s="198"/>
      <c r="I86" s="186"/>
      <c r="J86" s="186"/>
      <c r="K86" s="185"/>
      <c r="L86" s="186"/>
      <c r="M86" s="36">
        <v>100000000</v>
      </c>
      <c r="N86" s="37" t="s">
        <v>34</v>
      </c>
      <c r="O86" s="37" t="s">
        <v>1404</v>
      </c>
      <c r="P86" s="47" t="str">
        <f>IF(AND('331-CT'!$F$5=TH!H86,OR(N86="331",O86="331")),"x","")</f>
        <v/>
      </c>
      <c r="Q86" s="47" t="str">
        <f>IF(AND(B86='111'!$L$11,OR($N86=$Q$7,$O86=$Q$7)),"x","")</f>
        <v/>
      </c>
      <c r="R86" s="47" t="str">
        <f>IF(AND($N86=$Q$7,$B86&lt;'111'!$L$11),"x","")</f>
        <v>x</v>
      </c>
      <c r="S86" s="47" t="str">
        <f>IF(AND($O86=$Q$7,$B86&lt;'111'!$L$11),"x","")</f>
        <v/>
      </c>
    </row>
    <row r="87" spans="1:19" ht="15.75" customHeight="1">
      <c r="A87" s="152" t="str">
        <f>IF(B87&lt;&gt;"",IF(AND(B87='IN-TC'!$S$4,OR(TH!N87="1111",TH!O87="1111")),TH!D87,""),"")</f>
        <v/>
      </c>
      <c r="B87" s="34">
        <f t="shared" si="4"/>
        <v>1</v>
      </c>
      <c r="C87" s="35">
        <f t="shared" si="5"/>
        <v>42384</v>
      </c>
      <c r="D87" s="212" t="s">
        <v>938</v>
      </c>
      <c r="E87" s="35">
        <v>42384</v>
      </c>
      <c r="F87" s="144" t="s">
        <v>122</v>
      </c>
      <c r="G87" s="191" t="s">
        <v>204</v>
      </c>
      <c r="H87" s="198" t="s">
        <v>1406</v>
      </c>
      <c r="I87" s="186"/>
      <c r="J87" s="186"/>
      <c r="K87" s="185"/>
      <c r="L87" s="186"/>
      <c r="M87" s="36">
        <v>200000000</v>
      </c>
      <c r="N87" s="37" t="s">
        <v>34</v>
      </c>
      <c r="O87" s="37" t="s">
        <v>35</v>
      </c>
      <c r="P87" s="47" t="str">
        <f>IF(AND('331-CT'!$F$5=TH!H87,OR(N87="331",O87="331")),"x","")</f>
        <v/>
      </c>
      <c r="Q87" s="47" t="str">
        <f>IF(AND(B87='111'!$L$11,OR($N87=$Q$7,$O87=$Q$7)),"x","")</f>
        <v/>
      </c>
      <c r="R87" s="47" t="str">
        <f>IF(AND($N87=$Q$7,$B87&lt;'111'!$L$11),"x","")</f>
        <v>x</v>
      </c>
      <c r="S87" s="47" t="str">
        <f>IF(AND($O87=$Q$7,$B87&lt;'111'!$L$11),"x","")</f>
        <v/>
      </c>
    </row>
    <row r="88" spans="1:19" ht="15.75" customHeight="1">
      <c r="A88" s="152" t="str">
        <f>IF(B88&lt;&gt;"",IF(AND(B88='IN-TC'!$S$4,OR(TH!N88="1111",TH!O88="1111")),TH!D88,""),"")</f>
        <v/>
      </c>
      <c r="B88" s="34">
        <f t="shared" si="4"/>
        <v>1</v>
      </c>
      <c r="C88" s="35">
        <f t="shared" si="5"/>
        <v>42384</v>
      </c>
      <c r="D88" s="212" t="s">
        <v>939</v>
      </c>
      <c r="E88" s="35">
        <v>42384</v>
      </c>
      <c r="F88" s="144" t="s">
        <v>123</v>
      </c>
      <c r="G88" s="191" t="s">
        <v>204</v>
      </c>
      <c r="H88" s="198" t="s">
        <v>1407</v>
      </c>
      <c r="I88" s="186"/>
      <c r="J88" s="186"/>
      <c r="K88" s="185"/>
      <c r="L88" s="186"/>
      <c r="M88" s="36">
        <v>150000000</v>
      </c>
      <c r="N88" s="37" t="s">
        <v>34</v>
      </c>
      <c r="O88" s="37" t="s">
        <v>35</v>
      </c>
      <c r="P88" s="47" t="str">
        <f>IF(AND('331-CT'!$F$5=TH!H88,OR(N88="331",O88="331")),"x","")</f>
        <v/>
      </c>
      <c r="Q88" s="47" t="str">
        <f>IF(AND(B88='111'!$L$11,OR($N88=$Q$7,$O88=$Q$7)),"x","")</f>
        <v/>
      </c>
      <c r="R88" s="47" t="str">
        <f>IF(AND($N88=$Q$7,$B88&lt;'111'!$L$11),"x","")</f>
        <v>x</v>
      </c>
      <c r="S88" s="47" t="str">
        <f>IF(AND($O88=$Q$7,$B88&lt;'111'!$L$11),"x","")</f>
        <v/>
      </c>
    </row>
    <row r="89" spans="1:19" ht="15.75" customHeight="1">
      <c r="A89" s="152" t="str">
        <f>IF(B89&lt;&gt;"",IF(AND(B89='IN-TC'!$S$4,OR(TH!N89="1111",TH!O89="1111")),TH!D89,""),"")</f>
        <v/>
      </c>
      <c r="B89" s="34">
        <f t="shared" si="4"/>
        <v>1</v>
      </c>
      <c r="C89" s="35">
        <f t="shared" si="5"/>
        <v>42384</v>
      </c>
      <c r="D89" s="212" t="s">
        <v>930</v>
      </c>
      <c r="E89" s="35">
        <v>42384</v>
      </c>
      <c r="F89" s="144" t="s">
        <v>124</v>
      </c>
      <c r="G89" s="191" t="s">
        <v>204</v>
      </c>
      <c r="H89" s="198" t="s">
        <v>1408</v>
      </c>
      <c r="I89" s="186"/>
      <c r="J89" s="186"/>
      <c r="K89" s="185"/>
      <c r="L89" s="186"/>
      <c r="M89" s="36">
        <v>200000000</v>
      </c>
      <c r="N89" s="37" t="s">
        <v>34</v>
      </c>
      <c r="O89" s="37" t="s">
        <v>35</v>
      </c>
      <c r="P89" s="47" t="str">
        <f>IF(AND('331-CT'!$F$5=TH!H89,OR(N89="331",O89="331")),"x","")</f>
        <v/>
      </c>
      <c r="Q89" s="47" t="str">
        <f>IF(AND(B89='111'!$L$11,OR($N89=$Q$7,$O89=$Q$7)),"x","")</f>
        <v/>
      </c>
      <c r="R89" s="47" t="str">
        <f>IF(AND($N89=$Q$7,$B89&lt;'111'!$L$11),"x","")</f>
        <v>x</v>
      </c>
      <c r="S89" s="47" t="str">
        <f>IF(AND($O89=$Q$7,$B89&lt;'111'!$L$11),"x","")</f>
        <v/>
      </c>
    </row>
    <row r="90" spans="1:19" ht="15.75" customHeight="1">
      <c r="A90" s="152" t="str">
        <f>IF(B90&lt;&gt;"",IF(AND(B90='IN-TC'!$S$4,OR(TH!N90="1111",TH!O90="1111")),TH!D90,""),"")</f>
        <v/>
      </c>
      <c r="B90" s="34">
        <f t="shared" si="4"/>
        <v>1</v>
      </c>
      <c r="C90" s="35">
        <f t="shared" si="5"/>
        <v>42384</v>
      </c>
      <c r="D90" s="212" t="s">
        <v>921</v>
      </c>
      <c r="E90" s="35">
        <v>42384</v>
      </c>
      <c r="F90" s="144" t="s">
        <v>292</v>
      </c>
      <c r="G90" s="191" t="s">
        <v>208</v>
      </c>
      <c r="H90" s="198"/>
      <c r="I90" s="186"/>
      <c r="J90" s="186"/>
      <c r="K90" s="185"/>
      <c r="L90" s="186"/>
      <c r="M90" s="36">
        <v>37509000</v>
      </c>
      <c r="N90" s="37"/>
      <c r="O90" s="37" t="s">
        <v>34</v>
      </c>
      <c r="P90" s="47" t="str">
        <f>IF(AND('331-CT'!$F$5=TH!H90,OR(N90="331",O90="331")),"x","")</f>
        <v/>
      </c>
      <c r="Q90" s="47" t="str">
        <f>IF(AND(B90='111'!$L$11,OR($N90=$Q$7,$O90=$Q$7)),"x","")</f>
        <v/>
      </c>
      <c r="R90" s="47" t="str">
        <f>IF(AND($N90=$Q$7,$B90&lt;'111'!$L$11),"x","")</f>
        <v/>
      </c>
      <c r="S90" s="47" t="str">
        <f>IF(AND($O90=$Q$7,$B90&lt;'111'!$L$11),"x","")</f>
        <v>x</v>
      </c>
    </row>
    <row r="91" spans="1:19" ht="15.75" customHeight="1">
      <c r="A91" s="152" t="str">
        <f>IF(B91&lt;&gt;"",IF(AND(B91='IN-TC'!$S$4,OR(TH!N91="1111",TH!O91="1111")),TH!D91,""),"")</f>
        <v/>
      </c>
      <c r="B91" s="34">
        <f t="shared" si="4"/>
        <v>1</v>
      </c>
      <c r="C91" s="35">
        <f t="shared" si="5"/>
        <v>42384</v>
      </c>
      <c r="D91" s="212" t="s">
        <v>922</v>
      </c>
      <c r="E91" s="35">
        <v>42384</v>
      </c>
      <c r="F91" s="144" t="s">
        <v>293</v>
      </c>
      <c r="G91" s="191" t="s">
        <v>202</v>
      </c>
      <c r="H91" s="198"/>
      <c r="I91" s="186"/>
      <c r="J91" s="186"/>
      <c r="K91" s="185"/>
      <c r="L91" s="186"/>
      <c r="M91" s="36">
        <v>1830000</v>
      </c>
      <c r="N91" s="37"/>
      <c r="O91" s="37" t="s">
        <v>34</v>
      </c>
      <c r="P91" s="47" t="str">
        <f>IF(AND('331-CT'!$F$5=TH!H91,OR(N91="331",O91="331")),"x","")</f>
        <v/>
      </c>
      <c r="Q91" s="47" t="str">
        <f>IF(AND(B91='111'!$L$11,OR($N91=$Q$7,$O91=$Q$7)),"x","")</f>
        <v/>
      </c>
      <c r="R91" s="47" t="str">
        <f>IF(AND($N91=$Q$7,$B91&lt;'111'!$L$11),"x","")</f>
        <v/>
      </c>
      <c r="S91" s="47" t="str">
        <f>IF(AND($O91=$Q$7,$B91&lt;'111'!$L$11),"x","")</f>
        <v>x</v>
      </c>
    </row>
    <row r="92" spans="1:19" ht="15.75" customHeight="1">
      <c r="A92" s="152" t="str">
        <f>IF(B92&lt;&gt;"",IF(AND(B92='IN-TC'!$S$4,OR(TH!N92="1111",TH!O92="1111")),TH!D92,""),"")</f>
        <v/>
      </c>
      <c r="B92" s="34">
        <f t="shared" si="4"/>
        <v>1</v>
      </c>
      <c r="C92" s="35">
        <f t="shared" si="5"/>
        <v>42384</v>
      </c>
      <c r="D92" s="212" t="s">
        <v>923</v>
      </c>
      <c r="E92" s="35">
        <v>42384</v>
      </c>
      <c r="F92" s="144" t="s">
        <v>294</v>
      </c>
      <c r="G92" s="191" t="s">
        <v>217</v>
      </c>
      <c r="H92" s="198"/>
      <c r="I92" s="186"/>
      <c r="J92" s="186"/>
      <c r="K92" s="185"/>
      <c r="L92" s="186"/>
      <c r="M92" s="36">
        <v>35000000</v>
      </c>
      <c r="N92" s="37"/>
      <c r="O92" s="37" t="s">
        <v>34</v>
      </c>
      <c r="P92" s="47" t="str">
        <f>IF(AND('331-CT'!$F$5=TH!H92,OR(N92="331",O92="331")),"x","")</f>
        <v/>
      </c>
      <c r="Q92" s="47" t="str">
        <f>IF(AND(B92='111'!$L$11,OR($N92=$Q$7,$O92=$Q$7)),"x","")</f>
        <v/>
      </c>
      <c r="R92" s="47" t="str">
        <f>IF(AND($N92=$Q$7,$B92&lt;'111'!$L$11),"x","")</f>
        <v/>
      </c>
      <c r="S92" s="47" t="str">
        <f>IF(AND($O92=$Q$7,$B92&lt;'111'!$L$11),"x","")</f>
        <v>x</v>
      </c>
    </row>
    <row r="93" spans="1:19" ht="15.75" customHeight="1">
      <c r="A93" s="152" t="str">
        <f>IF(B93&lt;&gt;"",IF(AND(B93='IN-TC'!$S$4,OR(TH!N93="1111",TH!O93="1111")),TH!D93,""),"")</f>
        <v/>
      </c>
      <c r="B93" s="34">
        <f t="shared" si="4"/>
        <v>1</v>
      </c>
      <c r="C93" s="35">
        <f t="shared" si="5"/>
        <v>42384</v>
      </c>
      <c r="D93" s="212" t="s">
        <v>924</v>
      </c>
      <c r="E93" s="35">
        <v>42384</v>
      </c>
      <c r="F93" s="144" t="s">
        <v>295</v>
      </c>
      <c r="G93" s="191" t="s">
        <v>202</v>
      </c>
      <c r="H93" s="198"/>
      <c r="I93" s="186"/>
      <c r="J93" s="186"/>
      <c r="K93" s="185"/>
      <c r="L93" s="186"/>
      <c r="M93" s="36">
        <v>10125000</v>
      </c>
      <c r="N93" s="37"/>
      <c r="O93" s="37" t="s">
        <v>34</v>
      </c>
      <c r="P93" s="47" t="str">
        <f>IF(AND('331-CT'!$F$5=TH!H93,OR(N93="331",O93="331")),"x","")</f>
        <v/>
      </c>
      <c r="Q93" s="47" t="str">
        <f>IF(AND(B93='111'!$L$11,OR($N93=$Q$7,$O93=$Q$7)),"x","")</f>
        <v/>
      </c>
      <c r="R93" s="47" t="str">
        <f>IF(AND($N93=$Q$7,$B93&lt;'111'!$L$11),"x","")</f>
        <v/>
      </c>
      <c r="S93" s="47" t="str">
        <f>IF(AND($O93=$Q$7,$B93&lt;'111'!$L$11),"x","")</f>
        <v>x</v>
      </c>
    </row>
    <row r="94" spans="1:19" ht="15.75" customHeight="1">
      <c r="A94" s="152" t="str">
        <f>IF(B94&lt;&gt;"",IF(AND(B94='IN-TC'!$S$4,OR(TH!N94="1111",TH!O94="1111")),TH!D94,""),"")</f>
        <v/>
      </c>
      <c r="B94" s="34">
        <f t="shared" si="4"/>
        <v>1</v>
      </c>
      <c r="C94" s="35">
        <f t="shared" si="5"/>
        <v>42384</v>
      </c>
      <c r="D94" s="212" t="s">
        <v>925</v>
      </c>
      <c r="E94" s="35">
        <v>42384</v>
      </c>
      <c r="F94" s="144" t="s">
        <v>296</v>
      </c>
      <c r="G94" s="191" t="s">
        <v>215</v>
      </c>
      <c r="H94" s="198"/>
      <c r="I94" s="186"/>
      <c r="J94" s="186"/>
      <c r="K94" s="185"/>
      <c r="L94" s="186"/>
      <c r="M94" s="36">
        <v>1750000</v>
      </c>
      <c r="N94" s="37"/>
      <c r="O94" s="37" t="s">
        <v>34</v>
      </c>
      <c r="P94" s="47" t="str">
        <f>IF(AND('331-CT'!$F$5=TH!H94,OR(N94="331",O94="331")),"x","")</f>
        <v/>
      </c>
      <c r="Q94" s="47" t="str">
        <f>IF(AND(B94='111'!$L$11,OR($N94=$Q$7,$O94=$Q$7)),"x","")</f>
        <v/>
      </c>
      <c r="R94" s="47" t="str">
        <f>IF(AND($N94=$Q$7,$B94&lt;'111'!$L$11),"x","")</f>
        <v/>
      </c>
      <c r="S94" s="47" t="str">
        <f>IF(AND($O94=$Q$7,$B94&lt;'111'!$L$11),"x","")</f>
        <v>x</v>
      </c>
    </row>
    <row r="95" spans="1:19" ht="15.75" customHeight="1">
      <c r="A95" s="152" t="str">
        <f>IF(B95&lt;&gt;"",IF(AND(B95='IN-TC'!$S$4,OR(TH!N95="1111",TH!O95="1111")),TH!D95,""),"")</f>
        <v/>
      </c>
      <c r="B95" s="34">
        <f t="shared" si="4"/>
        <v>1</v>
      </c>
      <c r="C95" s="35">
        <f t="shared" si="5"/>
        <v>42384</v>
      </c>
      <c r="D95" s="212" t="s">
        <v>926</v>
      </c>
      <c r="E95" s="35">
        <v>42384</v>
      </c>
      <c r="F95" s="144" t="s">
        <v>297</v>
      </c>
      <c r="G95" s="191" t="s">
        <v>204</v>
      </c>
      <c r="H95" s="198"/>
      <c r="I95" s="186"/>
      <c r="J95" s="186"/>
      <c r="K95" s="185"/>
      <c r="L95" s="186"/>
      <c r="M95" s="36">
        <v>510000000</v>
      </c>
      <c r="N95" s="37"/>
      <c r="O95" s="37" t="s">
        <v>34</v>
      </c>
      <c r="P95" s="47" t="str">
        <f>IF(AND('331-CT'!$F$5=TH!H95,OR(N95="331",O95="331")),"x","")</f>
        <v/>
      </c>
      <c r="Q95" s="47" t="str">
        <f>IF(AND(B95='111'!$L$11,OR($N95=$Q$7,$O95=$Q$7)),"x","")</f>
        <v/>
      </c>
      <c r="R95" s="47" t="str">
        <f>IF(AND($N95=$Q$7,$B95&lt;'111'!$L$11),"x","")</f>
        <v/>
      </c>
      <c r="S95" s="47" t="str">
        <f>IF(AND($O95=$Q$7,$B95&lt;'111'!$L$11),"x","")</f>
        <v>x</v>
      </c>
    </row>
    <row r="96" spans="1:19" ht="15.75" customHeight="1">
      <c r="A96" s="152" t="str">
        <f>IF(B96&lt;&gt;"",IF(AND(B96='IN-TC'!$S$4,OR(TH!N96="1111",TH!O96="1111")),TH!D96,""),"")</f>
        <v/>
      </c>
      <c r="B96" s="34">
        <f t="shared" si="4"/>
        <v>1</v>
      </c>
      <c r="C96" s="35">
        <f t="shared" si="5"/>
        <v>42384</v>
      </c>
      <c r="D96" s="212" t="s">
        <v>927</v>
      </c>
      <c r="E96" s="35">
        <v>42384</v>
      </c>
      <c r="F96" s="144" t="s">
        <v>298</v>
      </c>
      <c r="G96" s="191" t="s">
        <v>206</v>
      </c>
      <c r="H96" s="198" t="s">
        <v>823</v>
      </c>
      <c r="I96" s="186"/>
      <c r="J96" s="186"/>
      <c r="K96" s="185"/>
      <c r="L96" s="186"/>
      <c r="M96" s="36">
        <v>100000000</v>
      </c>
      <c r="N96" s="37" t="s">
        <v>8</v>
      </c>
      <c r="O96" s="37" t="s">
        <v>34</v>
      </c>
      <c r="P96" s="47" t="str">
        <f>IF(AND('331-CT'!$F$5=TH!H96,OR(N96="331",O96="331")),"x","")</f>
        <v/>
      </c>
      <c r="Q96" s="47" t="str">
        <f>IF(AND(B96='111'!$L$11,OR($N96=$Q$7,$O96=$Q$7)),"x","")</f>
        <v/>
      </c>
      <c r="R96" s="47" t="str">
        <f>IF(AND($N96=$Q$7,$B96&lt;'111'!$L$11),"x","")</f>
        <v/>
      </c>
      <c r="S96" s="47" t="str">
        <f>IF(AND($O96=$Q$7,$B96&lt;'111'!$L$11),"x","")</f>
        <v>x</v>
      </c>
    </row>
    <row r="97" spans="1:19" ht="15.75" customHeight="1">
      <c r="A97" s="152" t="str">
        <f>IF(B97&lt;&gt;"",IF(AND(B97='IN-TC'!$S$4,OR(TH!N97="1111",TH!O97="1111")),TH!D97,""),"")</f>
        <v/>
      </c>
      <c r="B97" s="34">
        <f t="shared" si="4"/>
        <v>1</v>
      </c>
      <c r="C97" s="35">
        <f t="shared" si="5"/>
        <v>42384</v>
      </c>
      <c r="D97" s="212" t="s">
        <v>927</v>
      </c>
      <c r="E97" s="35">
        <v>42384</v>
      </c>
      <c r="F97" s="144" t="s">
        <v>1424</v>
      </c>
      <c r="G97" s="191"/>
      <c r="H97" s="198"/>
      <c r="I97" s="186"/>
      <c r="J97" s="186"/>
      <c r="K97" s="185"/>
      <c r="L97" s="186"/>
      <c r="M97" s="36">
        <v>30000</v>
      </c>
      <c r="N97" s="37" t="s">
        <v>1425</v>
      </c>
      <c r="O97" s="37" t="s">
        <v>34</v>
      </c>
      <c r="P97" s="47" t="str">
        <f>IF(AND('331-CT'!$F$5=TH!H97,OR(N97="331",O97="331")),"x","")</f>
        <v/>
      </c>
      <c r="Q97" s="47" t="str">
        <f>IF(AND(B97='111'!$L$11,OR($N97=$Q$7,$O97=$Q$7)),"x","")</f>
        <v/>
      </c>
      <c r="R97" s="47" t="str">
        <f>IF(AND($N97=$Q$7,$B97&lt;'111'!$L$11),"x","")</f>
        <v/>
      </c>
      <c r="S97" s="47" t="str">
        <f>IF(AND($O97=$Q$7,$B97&lt;'111'!$L$11),"x","")</f>
        <v>x</v>
      </c>
    </row>
    <row r="98" spans="1:19" ht="15.75" customHeight="1">
      <c r="A98" s="152" t="str">
        <f>IF(B98&lt;&gt;"",IF(AND(B98='IN-TC'!$S$4,OR(TH!N98="1111",TH!O98="1111")),TH!D98,""),"")</f>
        <v/>
      </c>
      <c r="B98" s="34">
        <f t="shared" si="4"/>
        <v>1</v>
      </c>
      <c r="C98" s="35">
        <f t="shared" si="5"/>
        <v>42384</v>
      </c>
      <c r="D98" s="212" t="s">
        <v>928</v>
      </c>
      <c r="E98" s="35">
        <v>42384</v>
      </c>
      <c r="F98" s="144" t="s">
        <v>299</v>
      </c>
      <c r="G98" s="191" t="s">
        <v>206</v>
      </c>
      <c r="H98" s="198" t="s">
        <v>846</v>
      </c>
      <c r="I98" s="186"/>
      <c r="J98" s="186"/>
      <c r="K98" s="185"/>
      <c r="L98" s="186"/>
      <c r="M98" s="36">
        <v>80000000</v>
      </c>
      <c r="N98" s="37" t="s">
        <v>8</v>
      </c>
      <c r="O98" s="37" t="s">
        <v>34</v>
      </c>
      <c r="P98" s="47" t="str">
        <f>IF(AND('331-CT'!$F$5=TH!H98,OR(N98="331",O98="331")),"x","")</f>
        <v/>
      </c>
      <c r="Q98" s="47" t="str">
        <f>IF(AND(B98='111'!$L$11,OR($N98=$Q$7,$O98=$Q$7)),"x","")</f>
        <v/>
      </c>
      <c r="R98" s="47" t="str">
        <f>IF(AND($N98=$Q$7,$B98&lt;'111'!$L$11),"x","")</f>
        <v/>
      </c>
      <c r="S98" s="47" t="str">
        <f>IF(AND($O98=$Q$7,$B98&lt;'111'!$L$11),"x","")</f>
        <v>x</v>
      </c>
    </row>
    <row r="99" spans="1:19" ht="15.75" customHeight="1">
      <c r="A99" s="152" t="str">
        <f>IF(B99&lt;&gt;"",IF(AND(B99='IN-TC'!$S$4,OR(TH!N99="1111",TH!O99="1111")),TH!D99,""),"")</f>
        <v/>
      </c>
      <c r="B99" s="34">
        <f t="shared" si="4"/>
        <v>1</v>
      </c>
      <c r="C99" s="35">
        <f t="shared" si="5"/>
        <v>42384</v>
      </c>
      <c r="D99" s="212" t="s">
        <v>928</v>
      </c>
      <c r="E99" s="35">
        <v>42384</v>
      </c>
      <c r="F99" s="144" t="s">
        <v>1424</v>
      </c>
      <c r="G99" s="191"/>
      <c r="H99" s="198"/>
      <c r="I99" s="186"/>
      <c r="J99" s="186"/>
      <c r="K99" s="185"/>
      <c r="L99" s="186"/>
      <c r="M99" s="36">
        <v>24000</v>
      </c>
      <c r="N99" s="37" t="s">
        <v>1425</v>
      </c>
      <c r="O99" s="37" t="s">
        <v>34</v>
      </c>
      <c r="P99" s="47" t="str">
        <f>IF(AND('331-CT'!$F$5=TH!H99,OR(N99="331",O99="331")),"x","")</f>
        <v/>
      </c>
      <c r="Q99" s="47" t="str">
        <f>IF(AND(B99='111'!$L$11,OR($N99=$Q$7,$O99=$Q$7)),"x","")</f>
        <v/>
      </c>
      <c r="R99" s="47" t="str">
        <f>IF(AND($N99=$Q$7,$B99&lt;'111'!$L$11),"x","")</f>
        <v/>
      </c>
      <c r="S99" s="47" t="str">
        <f>IF(AND($O99=$Q$7,$B99&lt;'111'!$L$11),"x","")</f>
        <v>x</v>
      </c>
    </row>
    <row r="100" spans="1:19" ht="15.75" customHeight="1">
      <c r="A100" s="152" t="str">
        <f>IF(B100&lt;&gt;"",IF(AND(B100='IN-TC'!$S$4,OR(TH!N100="1111",TH!O100="1111")),TH!D100,""),"")</f>
        <v/>
      </c>
      <c r="B100" s="34">
        <f t="shared" si="4"/>
        <v>1</v>
      </c>
      <c r="C100" s="35">
        <f t="shared" si="5"/>
        <v>42384</v>
      </c>
      <c r="D100" s="212" t="s">
        <v>929</v>
      </c>
      <c r="E100" s="35">
        <v>42384</v>
      </c>
      <c r="F100" s="144" t="s">
        <v>300</v>
      </c>
      <c r="G100" s="191" t="s">
        <v>205</v>
      </c>
      <c r="H100" s="198"/>
      <c r="I100" s="186"/>
      <c r="J100" s="186"/>
      <c r="K100" s="185"/>
      <c r="L100" s="186"/>
      <c r="M100" s="36">
        <v>1000000</v>
      </c>
      <c r="N100" s="37"/>
      <c r="O100" s="37" t="s">
        <v>34</v>
      </c>
      <c r="P100" s="47" t="str">
        <f>IF(AND('331-CT'!$F$5=TH!H100,OR(N100="331",O100="331")),"x","")</f>
        <v/>
      </c>
      <c r="Q100" s="47" t="str">
        <f>IF(AND(B100='111'!$L$11,OR($N100=$Q$7,$O100=$Q$7)),"x","")</f>
        <v/>
      </c>
      <c r="R100" s="47" t="str">
        <f>IF(AND($N100=$Q$7,$B100&lt;'111'!$L$11),"x","")</f>
        <v/>
      </c>
      <c r="S100" s="47" t="str">
        <f>IF(AND($O100=$Q$7,$B100&lt;'111'!$L$11),"x","")</f>
        <v>x</v>
      </c>
    </row>
    <row r="101" spans="1:19" ht="15.75" customHeight="1">
      <c r="A101" s="152" t="str">
        <f>IF(B101&lt;&gt;"",IF(AND(B101='IN-TC'!$S$4,OR(TH!N101="1111",TH!O101="1111")),TH!D101,""),"")</f>
        <v/>
      </c>
      <c r="B101" s="34">
        <f t="shared" si="4"/>
        <v>1</v>
      </c>
      <c r="C101" s="35">
        <f t="shared" si="5"/>
        <v>42384</v>
      </c>
      <c r="D101" s="212" t="s">
        <v>940</v>
      </c>
      <c r="E101" s="35">
        <v>42384</v>
      </c>
      <c r="F101" s="144" t="s">
        <v>301</v>
      </c>
      <c r="G101" s="191" t="s">
        <v>212</v>
      </c>
      <c r="H101" s="198"/>
      <c r="I101" s="186"/>
      <c r="J101" s="186"/>
      <c r="K101" s="185"/>
      <c r="L101" s="186"/>
      <c r="M101" s="36">
        <v>175933000</v>
      </c>
      <c r="N101" s="37"/>
      <c r="O101" s="37" t="s">
        <v>34</v>
      </c>
      <c r="P101" s="47" t="str">
        <f>IF(AND('331-CT'!$F$5=TH!H101,OR(N101="331",O101="331")),"x","")</f>
        <v/>
      </c>
      <c r="Q101" s="47" t="str">
        <f>IF(AND(B101='111'!$L$11,OR($N101=$Q$7,$O101=$Q$7)),"x","")</f>
        <v/>
      </c>
      <c r="R101" s="47" t="str">
        <f>IF(AND($N101=$Q$7,$B101&lt;'111'!$L$11),"x","")</f>
        <v/>
      </c>
      <c r="S101" s="47" t="str">
        <f>IF(AND($O101=$Q$7,$B101&lt;'111'!$L$11),"x","")</f>
        <v>x</v>
      </c>
    </row>
    <row r="102" spans="1:19" ht="15.75" customHeight="1">
      <c r="A102" s="152" t="str">
        <f>IF(B102&lt;&gt;"",IF(AND(B102='IN-TC'!$S$4,OR(TH!N102="1111",TH!O102="1111")),TH!D102,""),"")</f>
        <v/>
      </c>
      <c r="B102" s="34">
        <f t="shared" si="4"/>
        <v>1</v>
      </c>
      <c r="C102" s="35">
        <f t="shared" si="5"/>
        <v>42384</v>
      </c>
      <c r="D102" s="212" t="s">
        <v>941</v>
      </c>
      <c r="E102" s="35">
        <v>42384</v>
      </c>
      <c r="F102" s="144" t="s">
        <v>302</v>
      </c>
      <c r="G102" s="191" t="s">
        <v>110</v>
      </c>
      <c r="H102" s="198"/>
      <c r="I102" s="186"/>
      <c r="J102" s="186"/>
      <c r="K102" s="185"/>
      <c r="L102" s="186"/>
      <c r="M102" s="36">
        <v>2000000</v>
      </c>
      <c r="N102" s="37"/>
      <c r="O102" s="37" t="s">
        <v>34</v>
      </c>
      <c r="P102" s="47" t="str">
        <f>IF(AND('331-CT'!$F$5=TH!H102,OR(N102="331",O102="331")),"x","")</f>
        <v/>
      </c>
      <c r="Q102" s="47" t="str">
        <f>IF(AND(B102='111'!$L$11,OR($N102=$Q$7,$O102=$Q$7)),"x","")</f>
        <v/>
      </c>
      <c r="R102" s="47" t="str">
        <f>IF(AND($N102=$Q$7,$B102&lt;'111'!$L$11),"x","")</f>
        <v/>
      </c>
      <c r="S102" s="47" t="str">
        <f>IF(AND($O102=$Q$7,$B102&lt;'111'!$L$11),"x","")</f>
        <v>x</v>
      </c>
    </row>
    <row r="103" spans="1:19" ht="15.75" customHeight="1">
      <c r="A103" s="152" t="str">
        <f>IF(B103&lt;&gt;"",IF(AND(B103='IN-TC'!$S$4,OR(TH!N103="1111",TH!O103="1111")),TH!D103,""),"")</f>
        <v/>
      </c>
      <c r="B103" s="34">
        <f t="shared" si="4"/>
        <v>1</v>
      </c>
      <c r="C103" s="35">
        <f t="shared" si="5"/>
        <v>42384</v>
      </c>
      <c r="D103" s="212" t="s">
        <v>942</v>
      </c>
      <c r="E103" s="35">
        <v>42384</v>
      </c>
      <c r="F103" s="144" t="s">
        <v>303</v>
      </c>
      <c r="G103" s="191" t="s">
        <v>218</v>
      </c>
      <c r="H103" s="198"/>
      <c r="I103" s="186"/>
      <c r="J103" s="186"/>
      <c r="K103" s="185"/>
      <c r="L103" s="186"/>
      <c r="M103" s="36">
        <v>17216000</v>
      </c>
      <c r="N103" s="37"/>
      <c r="O103" s="37" t="s">
        <v>34</v>
      </c>
      <c r="P103" s="47" t="str">
        <f>IF(AND('331-CT'!$F$5=TH!H103,OR(N103="331",O103="331")),"x","")</f>
        <v/>
      </c>
      <c r="Q103" s="47" t="str">
        <f>IF(AND(B103='111'!$L$11,OR($N103=$Q$7,$O103=$Q$7)),"x","")</f>
        <v/>
      </c>
      <c r="R103" s="47" t="str">
        <f>IF(AND($N103=$Q$7,$B103&lt;'111'!$L$11),"x","")</f>
        <v/>
      </c>
      <c r="S103" s="47" t="str">
        <f>IF(AND($O103=$Q$7,$B103&lt;'111'!$L$11),"x","")</f>
        <v>x</v>
      </c>
    </row>
    <row r="104" spans="1:19" ht="15.75" customHeight="1">
      <c r="A104" s="152" t="str">
        <f>IF(B104&lt;&gt;"",IF(AND(B104='IN-TC'!$S$4,OR(TH!N104="1111",TH!O104="1111")),TH!D104,""),"")</f>
        <v/>
      </c>
      <c r="B104" s="34">
        <f t="shared" si="4"/>
        <v>1</v>
      </c>
      <c r="C104" s="35">
        <f t="shared" si="5"/>
        <v>42384</v>
      </c>
      <c r="D104" s="212" t="s">
        <v>943</v>
      </c>
      <c r="E104" s="35">
        <v>42384</v>
      </c>
      <c r="F104" s="144" t="s">
        <v>304</v>
      </c>
      <c r="G104" s="191" t="s">
        <v>204</v>
      </c>
      <c r="H104" s="198"/>
      <c r="I104" s="186"/>
      <c r="J104" s="186"/>
      <c r="K104" s="185"/>
      <c r="L104" s="186"/>
      <c r="M104" s="36">
        <v>50000000</v>
      </c>
      <c r="N104" s="37"/>
      <c r="O104" s="37" t="s">
        <v>34</v>
      </c>
      <c r="P104" s="47" t="str">
        <f>IF(AND('331-CT'!$F$5=TH!H104,OR(N104="331",O104="331")),"x","")</f>
        <v/>
      </c>
      <c r="Q104" s="47" t="str">
        <f>IF(AND(B104='111'!$L$11,OR($N104=$Q$7,$O104=$Q$7)),"x","")</f>
        <v/>
      </c>
      <c r="R104" s="47" t="str">
        <f>IF(AND($N104=$Q$7,$B104&lt;'111'!$L$11),"x","")</f>
        <v/>
      </c>
      <c r="S104" s="47" t="str">
        <f>IF(AND($O104=$Q$7,$B104&lt;'111'!$L$11),"x","")</f>
        <v>x</v>
      </c>
    </row>
    <row r="105" spans="1:19" ht="15.75" customHeight="1">
      <c r="A105" s="152" t="str">
        <f>IF(B105&lt;&gt;"",IF(AND(B105='IN-TC'!$S$4,OR(TH!N105="1111",TH!O105="1111")),TH!D105,""),"")</f>
        <v/>
      </c>
      <c r="B105" s="34">
        <f t="shared" si="4"/>
        <v>1</v>
      </c>
      <c r="C105" s="35">
        <f t="shared" si="5"/>
        <v>42384</v>
      </c>
      <c r="D105" s="212"/>
      <c r="E105" s="35">
        <v>42384</v>
      </c>
      <c r="F105" s="144" t="s">
        <v>1509</v>
      </c>
      <c r="G105" s="191" t="s">
        <v>1454</v>
      </c>
      <c r="H105" s="198" t="s">
        <v>820</v>
      </c>
      <c r="I105" s="186">
        <v>1787.2</v>
      </c>
      <c r="J105" s="186">
        <v>54000</v>
      </c>
      <c r="K105" s="185"/>
      <c r="L105" s="186"/>
      <c r="M105" s="36">
        <f>ROUND(I105*J105,-3)</f>
        <v>96509000</v>
      </c>
      <c r="N105" s="37" t="s">
        <v>1443</v>
      </c>
      <c r="O105" s="37" t="s">
        <v>8</v>
      </c>
      <c r="P105" s="47" t="str">
        <f>IF(AND('331-CT'!$F$5=TH!H105,OR(N105="331",O105="331")),"x","")</f>
        <v/>
      </c>
      <c r="Q105" s="47" t="str">
        <f>IF(AND(B105='111'!$L$11,OR($N105=$Q$7,$O105=$Q$7)),"x","")</f>
        <v/>
      </c>
      <c r="R105" s="47" t="str">
        <f>IF(AND($N105=$Q$7,$B105&lt;'111'!$L$11),"x","")</f>
        <v/>
      </c>
      <c r="S105" s="47" t="str">
        <f>IF(AND($O105=$Q$7,$B105&lt;'111'!$L$11),"x","")</f>
        <v/>
      </c>
    </row>
    <row r="106" spans="1:19" ht="15.75" customHeight="1">
      <c r="A106" s="152" t="str">
        <f>IF(B106&lt;&gt;"",IF(AND(B106='IN-TC'!$S$4,OR(TH!N106="1111",TH!O106="1111")),TH!D106,""),"")</f>
        <v/>
      </c>
      <c r="B106" s="34">
        <f t="shared" si="4"/>
        <v>1</v>
      </c>
      <c r="C106" s="35">
        <f t="shared" si="5"/>
        <v>42385</v>
      </c>
      <c r="D106" s="212" t="s">
        <v>944</v>
      </c>
      <c r="E106" s="35">
        <v>42385</v>
      </c>
      <c r="F106" s="144" t="s">
        <v>305</v>
      </c>
      <c r="G106" s="191" t="s">
        <v>212</v>
      </c>
      <c r="H106" s="198"/>
      <c r="I106" s="186"/>
      <c r="J106" s="186"/>
      <c r="K106" s="185"/>
      <c r="L106" s="186"/>
      <c r="M106" s="36">
        <v>80147000</v>
      </c>
      <c r="N106" s="37"/>
      <c r="O106" s="37" t="s">
        <v>34</v>
      </c>
      <c r="P106" s="47" t="str">
        <f>IF(AND('331-CT'!$F$5=TH!H106,OR(N106="331",O106="331")),"x","")</f>
        <v/>
      </c>
      <c r="Q106" s="47" t="str">
        <f>IF(AND(B106='111'!$L$11,OR($N106=$Q$7,$O106=$Q$7)),"x","")</f>
        <v/>
      </c>
      <c r="R106" s="47" t="str">
        <f>IF(AND($N106=$Q$7,$B106&lt;'111'!$L$11),"x","")</f>
        <v/>
      </c>
      <c r="S106" s="47" t="str">
        <f>IF(AND($O106=$Q$7,$B106&lt;'111'!$L$11),"x","")</f>
        <v>x</v>
      </c>
    </row>
    <row r="107" spans="1:19" ht="15.75" customHeight="1">
      <c r="A107" s="152" t="str">
        <f>IF(B107&lt;&gt;"",IF(AND(B107='IN-TC'!$S$4,OR(TH!N107="1111",TH!O107="1111")),TH!D107,""),"")</f>
        <v/>
      </c>
      <c r="B107" s="34">
        <f t="shared" si="4"/>
        <v>1</v>
      </c>
      <c r="C107" s="35">
        <f t="shared" si="5"/>
        <v>42385</v>
      </c>
      <c r="D107" s="212" t="s">
        <v>945</v>
      </c>
      <c r="E107" s="35">
        <v>42385</v>
      </c>
      <c r="F107" s="144" t="s">
        <v>306</v>
      </c>
      <c r="G107" s="191" t="s">
        <v>207</v>
      </c>
      <c r="H107" s="198"/>
      <c r="I107" s="186"/>
      <c r="J107" s="186"/>
      <c r="K107" s="185"/>
      <c r="L107" s="186"/>
      <c r="M107" s="36">
        <v>1000000</v>
      </c>
      <c r="N107" s="37"/>
      <c r="O107" s="37" t="s">
        <v>34</v>
      </c>
      <c r="P107" s="47" t="str">
        <f>IF(AND('331-CT'!$F$5=TH!H107,OR(N107="331",O107="331")),"x","")</f>
        <v/>
      </c>
      <c r="Q107" s="47" t="str">
        <f>IF(AND(B107='111'!$L$11,OR($N107=$Q$7,$O107=$Q$7)),"x","")</f>
        <v/>
      </c>
      <c r="R107" s="47" t="str">
        <f>IF(AND($N107=$Q$7,$B107&lt;'111'!$L$11),"x","")</f>
        <v/>
      </c>
      <c r="S107" s="47" t="str">
        <f>IF(AND($O107=$Q$7,$B107&lt;'111'!$L$11),"x","")</f>
        <v>x</v>
      </c>
    </row>
    <row r="108" spans="1:19" ht="15.75" customHeight="1">
      <c r="A108" s="152" t="str">
        <f>IF(B108&lt;&gt;"",IF(AND(B108='IN-TC'!$S$4,OR(TH!N108="1111",TH!O108="1111")),TH!D108,""),"")</f>
        <v/>
      </c>
      <c r="B108" s="34">
        <f t="shared" si="4"/>
        <v>1</v>
      </c>
      <c r="C108" s="35">
        <f t="shared" si="5"/>
        <v>42385</v>
      </c>
      <c r="D108" s="212" t="s">
        <v>946</v>
      </c>
      <c r="E108" s="35">
        <v>42385</v>
      </c>
      <c r="F108" s="144" t="s">
        <v>307</v>
      </c>
      <c r="G108" s="191" t="s">
        <v>214</v>
      </c>
      <c r="H108" s="198"/>
      <c r="I108" s="186"/>
      <c r="J108" s="186"/>
      <c r="K108" s="185"/>
      <c r="L108" s="186"/>
      <c r="M108" s="36">
        <v>380000</v>
      </c>
      <c r="N108" s="37"/>
      <c r="O108" s="37" t="s">
        <v>34</v>
      </c>
      <c r="P108" s="47" t="str">
        <f>IF(AND('331-CT'!$F$5=TH!H108,OR(N108="331",O108="331")),"x","")</f>
        <v/>
      </c>
      <c r="Q108" s="47" t="str">
        <f>IF(AND(B108='111'!$L$11,OR($N108=$Q$7,$O108=$Q$7)),"x","")</f>
        <v/>
      </c>
      <c r="R108" s="47" t="str">
        <f>IF(AND($N108=$Q$7,$B108&lt;'111'!$L$11),"x","")</f>
        <v/>
      </c>
      <c r="S108" s="47" t="str">
        <f>IF(AND($O108=$Q$7,$B108&lt;'111'!$L$11),"x","")</f>
        <v>x</v>
      </c>
    </row>
    <row r="109" spans="1:19" ht="15.75" customHeight="1">
      <c r="A109" s="152" t="str">
        <f>IF(B109&lt;&gt;"",IF(AND(B109='IN-TC'!$S$4,OR(TH!N109="1111",TH!O109="1111")),TH!D109,""),"")</f>
        <v/>
      </c>
      <c r="B109" s="34">
        <f t="shared" si="4"/>
        <v>1</v>
      </c>
      <c r="C109" s="35">
        <f t="shared" si="5"/>
        <v>42385</v>
      </c>
      <c r="D109" s="212" t="s">
        <v>947</v>
      </c>
      <c r="E109" s="35">
        <v>42385</v>
      </c>
      <c r="F109" s="144" t="s">
        <v>308</v>
      </c>
      <c r="G109" s="191" t="s">
        <v>213</v>
      </c>
      <c r="H109" s="198"/>
      <c r="I109" s="186"/>
      <c r="J109" s="186"/>
      <c r="K109" s="185"/>
      <c r="L109" s="186"/>
      <c r="M109" s="36">
        <v>4668000</v>
      </c>
      <c r="N109" s="37"/>
      <c r="O109" s="37" t="s">
        <v>34</v>
      </c>
      <c r="P109" s="47" t="str">
        <f>IF(AND('331-CT'!$F$5=TH!H109,OR(N109="331",O109="331")),"x","")</f>
        <v/>
      </c>
      <c r="Q109" s="47" t="str">
        <f>IF(AND(B109='111'!$L$11,OR($N109=$Q$7,$O109=$Q$7)),"x","")</f>
        <v/>
      </c>
      <c r="R109" s="47" t="str">
        <f>IF(AND($N109=$Q$7,$B109&lt;'111'!$L$11),"x","")</f>
        <v/>
      </c>
      <c r="S109" s="47" t="str">
        <f>IF(AND($O109=$Q$7,$B109&lt;'111'!$L$11),"x","")</f>
        <v>x</v>
      </c>
    </row>
    <row r="110" spans="1:19" ht="15.75" customHeight="1">
      <c r="A110" s="152" t="str">
        <f>IF(B110&lt;&gt;"",IF(AND(B110='IN-TC'!$S$4,OR(TH!N110="1111",TH!O110="1111")),TH!D110,""),"")</f>
        <v/>
      </c>
      <c r="B110" s="34">
        <f t="shared" si="4"/>
        <v>1</v>
      </c>
      <c r="C110" s="35">
        <f t="shared" si="5"/>
        <v>42385</v>
      </c>
      <c r="D110" s="212" t="s">
        <v>948</v>
      </c>
      <c r="E110" s="35">
        <v>42385</v>
      </c>
      <c r="F110" s="144" t="s">
        <v>309</v>
      </c>
      <c r="G110" s="191" t="s">
        <v>212</v>
      </c>
      <c r="H110" s="198"/>
      <c r="I110" s="186"/>
      <c r="J110" s="186"/>
      <c r="K110" s="185"/>
      <c r="L110" s="186"/>
      <c r="M110" s="36">
        <v>1000000</v>
      </c>
      <c r="N110" s="37"/>
      <c r="O110" s="37" t="s">
        <v>34</v>
      </c>
      <c r="P110" s="47" t="str">
        <f>IF(AND('331-CT'!$F$5=TH!H110,OR(N110="331",O110="331")),"x","")</f>
        <v/>
      </c>
      <c r="Q110" s="47" t="str">
        <f>IF(AND(B110='111'!$L$11,OR($N110=$Q$7,$O110=$Q$7)),"x","")</f>
        <v/>
      </c>
      <c r="R110" s="47" t="str">
        <f>IF(AND($N110=$Q$7,$B110&lt;'111'!$L$11),"x","")</f>
        <v/>
      </c>
      <c r="S110" s="47" t="str">
        <f>IF(AND($O110=$Q$7,$B110&lt;'111'!$L$11),"x","")</f>
        <v>x</v>
      </c>
    </row>
    <row r="111" spans="1:19" ht="15.75" customHeight="1">
      <c r="A111" s="152" t="str">
        <f>IF(B111&lt;&gt;"",IF(AND(B111='IN-TC'!$S$4,OR(TH!N111="1111",TH!O111="1111")),TH!D111,""),"")</f>
        <v/>
      </c>
      <c r="B111" s="34">
        <f t="shared" si="4"/>
        <v>1</v>
      </c>
      <c r="C111" s="35">
        <f t="shared" si="5"/>
        <v>42385</v>
      </c>
      <c r="D111" s="212" t="s">
        <v>949</v>
      </c>
      <c r="E111" s="35">
        <v>42385</v>
      </c>
      <c r="F111" s="144" t="s">
        <v>310</v>
      </c>
      <c r="G111" s="191" t="s">
        <v>205</v>
      </c>
      <c r="H111" s="198"/>
      <c r="I111" s="186"/>
      <c r="J111" s="186"/>
      <c r="K111" s="185"/>
      <c r="L111" s="186"/>
      <c r="M111" s="36">
        <v>189000</v>
      </c>
      <c r="N111" s="37"/>
      <c r="O111" s="37" t="s">
        <v>34</v>
      </c>
      <c r="P111" s="47" t="str">
        <f>IF(AND('331-CT'!$F$5=TH!H111,OR(N111="331",O111="331")),"x","")</f>
        <v/>
      </c>
      <c r="Q111" s="47" t="str">
        <f>IF(AND(B111='111'!$L$11,OR($N111=$Q$7,$O111=$Q$7)),"x","")</f>
        <v/>
      </c>
      <c r="R111" s="47" t="str">
        <f>IF(AND($N111=$Q$7,$B111&lt;'111'!$L$11),"x","")</f>
        <v/>
      </c>
      <c r="S111" s="47" t="str">
        <f>IF(AND($O111=$Q$7,$B111&lt;'111'!$L$11),"x","")</f>
        <v>x</v>
      </c>
    </row>
    <row r="112" spans="1:19" ht="15.75" customHeight="1">
      <c r="A112" s="152" t="str">
        <f>IF(B112&lt;&gt;"",IF(AND(B112='IN-TC'!$S$4,OR(TH!N112="1111",TH!O112="1111")),TH!D112,""),"")</f>
        <v/>
      </c>
      <c r="B112" s="34">
        <f t="shared" si="4"/>
        <v>1</v>
      </c>
      <c r="C112" s="35">
        <f t="shared" si="5"/>
        <v>42385</v>
      </c>
      <c r="D112" s="212"/>
      <c r="E112" s="35">
        <v>42385</v>
      </c>
      <c r="F112" s="144" t="s">
        <v>1504</v>
      </c>
      <c r="G112" s="191" t="s">
        <v>1454</v>
      </c>
      <c r="H112" s="198" t="s">
        <v>846</v>
      </c>
      <c r="I112" s="186">
        <v>3480</v>
      </c>
      <c r="J112" s="186">
        <v>25000</v>
      </c>
      <c r="K112" s="185"/>
      <c r="L112" s="186"/>
      <c r="M112" s="36">
        <f>ROUND(I112*J112,-3)</f>
        <v>87000000</v>
      </c>
      <c r="N112" s="37" t="s">
        <v>1443</v>
      </c>
      <c r="O112" s="37" t="s">
        <v>8</v>
      </c>
      <c r="P112" s="47" t="str">
        <f>IF(AND('331-CT'!$F$5=TH!H112,OR(N112="331",O112="331")),"x","")</f>
        <v/>
      </c>
      <c r="Q112" s="47" t="str">
        <f>IF(AND(B112='111'!$L$11,OR($N112=$Q$7,$O112=$Q$7)),"x","")</f>
        <v/>
      </c>
      <c r="R112" s="47" t="str">
        <f>IF(AND($N112=$Q$7,$B112&lt;'111'!$L$11),"x","")</f>
        <v/>
      </c>
      <c r="S112" s="47" t="str">
        <f>IF(AND($O112=$Q$7,$B112&lt;'111'!$L$11),"x","")</f>
        <v/>
      </c>
    </row>
    <row r="113" spans="1:19" ht="15.75" customHeight="1">
      <c r="A113" s="152" t="str">
        <f>IF(B113&lt;&gt;"",IF(AND(B113='IN-TC'!$S$4,OR(TH!N113="1111",TH!O113="1111")),TH!D113,""),"")</f>
        <v/>
      </c>
      <c r="B113" s="34">
        <f t="shared" si="4"/>
        <v>1</v>
      </c>
      <c r="C113" s="35">
        <f t="shared" si="5"/>
        <v>42387</v>
      </c>
      <c r="D113" s="212" t="s">
        <v>950</v>
      </c>
      <c r="E113" s="35">
        <v>42387</v>
      </c>
      <c r="F113" s="144" t="s">
        <v>311</v>
      </c>
      <c r="G113" s="191" t="s">
        <v>219</v>
      </c>
      <c r="H113" s="198"/>
      <c r="I113" s="186"/>
      <c r="J113" s="186"/>
      <c r="K113" s="185"/>
      <c r="L113" s="186"/>
      <c r="M113" s="36">
        <v>9200000</v>
      </c>
      <c r="N113" s="37"/>
      <c r="O113" s="37" t="s">
        <v>34</v>
      </c>
      <c r="P113" s="47" t="str">
        <f>IF(AND('331-CT'!$F$5=TH!H113,OR(N113="331",O113="331")),"x","")</f>
        <v/>
      </c>
      <c r="Q113" s="47" t="str">
        <f>IF(AND(B113='111'!$L$11,OR($N113=$Q$7,$O113=$Q$7)),"x","")</f>
        <v/>
      </c>
      <c r="R113" s="47" t="str">
        <f>IF(AND($N113=$Q$7,$B113&lt;'111'!$L$11),"x","")</f>
        <v/>
      </c>
      <c r="S113" s="47" t="str">
        <f>IF(AND($O113=$Q$7,$B113&lt;'111'!$L$11),"x","")</f>
        <v>x</v>
      </c>
    </row>
    <row r="114" spans="1:19" ht="15.75" customHeight="1">
      <c r="A114" s="152" t="str">
        <f>IF(B114&lt;&gt;"",IF(AND(B114='IN-TC'!$S$4,OR(TH!N114="1111",TH!O114="1111")),TH!D114,""),"")</f>
        <v/>
      </c>
      <c r="B114" s="34">
        <f t="shared" si="4"/>
        <v>1</v>
      </c>
      <c r="C114" s="35">
        <f t="shared" si="5"/>
        <v>42387</v>
      </c>
      <c r="D114" s="212" t="s">
        <v>951</v>
      </c>
      <c r="E114" s="35">
        <v>42387</v>
      </c>
      <c r="F114" s="144" t="s">
        <v>312</v>
      </c>
      <c r="G114" s="191" t="s">
        <v>217</v>
      </c>
      <c r="H114" s="198"/>
      <c r="I114" s="186"/>
      <c r="J114" s="186"/>
      <c r="K114" s="185"/>
      <c r="L114" s="186"/>
      <c r="M114" s="36">
        <v>2000000</v>
      </c>
      <c r="N114" s="37"/>
      <c r="O114" s="37" t="s">
        <v>34</v>
      </c>
      <c r="P114" s="47" t="str">
        <f>IF(AND('331-CT'!$F$5=TH!H114,OR(N114="331",O114="331")),"x","")</f>
        <v/>
      </c>
      <c r="Q114" s="47" t="str">
        <f>IF(AND(B114='111'!$L$11,OR($N114=$Q$7,$O114=$Q$7)),"x","")</f>
        <v/>
      </c>
      <c r="R114" s="47" t="str">
        <f>IF(AND($N114=$Q$7,$B114&lt;'111'!$L$11),"x","")</f>
        <v/>
      </c>
      <c r="S114" s="47" t="str">
        <f>IF(AND($O114=$Q$7,$B114&lt;'111'!$L$11),"x","")</f>
        <v>x</v>
      </c>
    </row>
    <row r="115" spans="1:19" ht="15.75" customHeight="1">
      <c r="A115" s="152" t="str">
        <f>IF(B115&lt;&gt;"",IF(AND(B115='IN-TC'!$S$4,OR(TH!N115="1111",TH!O115="1111")),TH!D115,""),"")</f>
        <v/>
      </c>
      <c r="B115" s="34">
        <f t="shared" si="4"/>
        <v>1</v>
      </c>
      <c r="C115" s="35">
        <f t="shared" si="5"/>
        <v>42387</v>
      </c>
      <c r="D115" s="212" t="s">
        <v>952</v>
      </c>
      <c r="E115" s="35">
        <v>42387</v>
      </c>
      <c r="F115" s="144" t="s">
        <v>295</v>
      </c>
      <c r="G115" s="191" t="s">
        <v>202</v>
      </c>
      <c r="H115" s="198"/>
      <c r="I115" s="186"/>
      <c r="J115" s="186"/>
      <c r="K115" s="185"/>
      <c r="L115" s="186"/>
      <c r="M115" s="36">
        <v>1910000</v>
      </c>
      <c r="N115" s="37"/>
      <c r="O115" s="37" t="s">
        <v>34</v>
      </c>
      <c r="P115" s="47" t="str">
        <f>IF(AND('331-CT'!$F$5=TH!H115,OR(N115="331",O115="331")),"x","")</f>
        <v/>
      </c>
      <c r="Q115" s="47" t="str">
        <f>IF(AND(B115='111'!$L$11,OR($N115=$Q$7,$O115=$Q$7)),"x","")</f>
        <v/>
      </c>
      <c r="R115" s="47" t="str">
        <f>IF(AND($N115=$Q$7,$B115&lt;'111'!$L$11),"x","")</f>
        <v/>
      </c>
      <c r="S115" s="47" t="str">
        <f>IF(AND($O115=$Q$7,$B115&lt;'111'!$L$11),"x","")</f>
        <v>x</v>
      </c>
    </row>
    <row r="116" spans="1:19" ht="15.75" customHeight="1">
      <c r="A116" s="152" t="str">
        <f>IF(B116&lt;&gt;"",IF(AND(B116='IN-TC'!$S$4,OR(TH!N116="1111",TH!O116="1111")),TH!D116,""),"")</f>
        <v/>
      </c>
      <c r="B116" s="34">
        <f t="shared" si="4"/>
        <v>1</v>
      </c>
      <c r="C116" s="35">
        <f t="shared" si="5"/>
        <v>42387</v>
      </c>
      <c r="D116" s="212" t="s">
        <v>953</v>
      </c>
      <c r="E116" s="35">
        <v>42387</v>
      </c>
      <c r="F116" s="144" t="s">
        <v>313</v>
      </c>
      <c r="G116" s="191" t="s">
        <v>111</v>
      </c>
      <c r="H116" s="198"/>
      <c r="I116" s="186"/>
      <c r="J116" s="186"/>
      <c r="K116" s="185"/>
      <c r="L116" s="186"/>
      <c r="M116" s="36">
        <v>300000</v>
      </c>
      <c r="N116" s="37"/>
      <c r="O116" s="37" t="s">
        <v>34</v>
      </c>
      <c r="P116" s="47" t="str">
        <f>IF(AND('331-CT'!$F$5=TH!H116,OR(N116="331",O116="331")),"x","")</f>
        <v/>
      </c>
      <c r="Q116" s="47" t="str">
        <f>IF(AND(B116='111'!$L$11,OR($N116=$Q$7,$O116=$Q$7)),"x","")</f>
        <v/>
      </c>
      <c r="R116" s="47" t="str">
        <f>IF(AND($N116=$Q$7,$B116&lt;'111'!$L$11),"x","")</f>
        <v/>
      </c>
      <c r="S116" s="47" t="str">
        <f>IF(AND($O116=$Q$7,$B116&lt;'111'!$L$11),"x","")</f>
        <v>x</v>
      </c>
    </row>
    <row r="117" spans="1:19" ht="15.75" customHeight="1">
      <c r="A117" s="152" t="str">
        <f>IF(B117&lt;&gt;"",IF(AND(B117='IN-TC'!$S$4,OR(TH!N117="1111",TH!O117="1111")),TH!D117,""),"")</f>
        <v/>
      </c>
      <c r="B117" s="34">
        <f t="shared" si="4"/>
        <v>1</v>
      </c>
      <c r="C117" s="35">
        <f t="shared" si="5"/>
        <v>42387</v>
      </c>
      <c r="D117" s="212" t="s">
        <v>954</v>
      </c>
      <c r="E117" s="35">
        <v>42387</v>
      </c>
      <c r="F117" s="144" t="s">
        <v>314</v>
      </c>
      <c r="G117" s="191" t="s">
        <v>202</v>
      </c>
      <c r="H117" s="198"/>
      <c r="I117" s="186"/>
      <c r="J117" s="186"/>
      <c r="K117" s="185"/>
      <c r="L117" s="186"/>
      <c r="M117" s="36">
        <v>3000000</v>
      </c>
      <c r="N117" s="37"/>
      <c r="O117" s="37" t="s">
        <v>34</v>
      </c>
      <c r="P117" s="47" t="str">
        <f>IF(AND('331-CT'!$F$5=TH!H117,OR(N117="331",O117="331")),"x","")</f>
        <v/>
      </c>
      <c r="Q117" s="47" t="str">
        <f>IF(AND(B117='111'!$L$11,OR($N117=$Q$7,$O117=$Q$7)),"x","")</f>
        <v/>
      </c>
      <c r="R117" s="47" t="str">
        <f>IF(AND($N117=$Q$7,$B117&lt;'111'!$L$11),"x","")</f>
        <v/>
      </c>
      <c r="S117" s="47" t="str">
        <f>IF(AND($O117=$Q$7,$B117&lt;'111'!$L$11),"x","")</f>
        <v>x</v>
      </c>
    </row>
    <row r="118" spans="1:19" ht="15.75" customHeight="1">
      <c r="A118" s="152" t="str">
        <f>IF(B118&lt;&gt;"",IF(AND(B118='IN-TC'!$S$4,OR(TH!N118="1111",TH!O118="1111")),TH!D118,""),"")</f>
        <v/>
      </c>
      <c r="B118" s="34">
        <f t="shared" si="4"/>
        <v>1</v>
      </c>
      <c r="C118" s="35">
        <f t="shared" si="5"/>
        <v>42387</v>
      </c>
      <c r="D118" s="212"/>
      <c r="E118" s="35">
        <v>42387</v>
      </c>
      <c r="F118" s="144" t="s">
        <v>1486</v>
      </c>
      <c r="G118" s="191" t="s">
        <v>204</v>
      </c>
      <c r="H118" s="198" t="s">
        <v>823</v>
      </c>
      <c r="I118" s="186">
        <v>3953</v>
      </c>
      <c r="J118" s="186">
        <v>26000</v>
      </c>
      <c r="K118" s="185"/>
      <c r="L118" s="186"/>
      <c r="M118" s="36">
        <f>ROUND(I118*J118,0)+800000</f>
        <v>103578000</v>
      </c>
      <c r="N118" s="37" t="s">
        <v>1443</v>
      </c>
      <c r="O118" s="37" t="s">
        <v>8</v>
      </c>
      <c r="P118" s="47" t="str">
        <f>IF(AND('331-CT'!$F$5=TH!H118,OR(N118="331",O118="331")),"x","")</f>
        <v/>
      </c>
      <c r="Q118" s="47" t="str">
        <f>IF(AND(B118='111'!$L$11,OR($N118=$Q$7,$O118=$Q$7)),"x","")</f>
        <v/>
      </c>
      <c r="R118" s="47" t="str">
        <f>IF(AND($N118=$Q$7,$B118&lt;'111'!$L$11),"x","")</f>
        <v/>
      </c>
      <c r="S118" s="47" t="str">
        <f>IF(AND($O118=$Q$7,$B118&lt;'111'!$L$11),"x","")</f>
        <v/>
      </c>
    </row>
    <row r="119" spans="1:19" ht="15.75" customHeight="1">
      <c r="A119" s="152" t="str">
        <f>IF(B119&lt;&gt;"",IF(AND(B119='IN-TC'!$S$4,OR(TH!N119="1111",TH!O119="1111")),TH!D119,""),"")</f>
        <v/>
      </c>
      <c r="B119" s="34">
        <f t="shared" si="4"/>
        <v>1</v>
      </c>
      <c r="C119" s="35">
        <f t="shared" si="5"/>
        <v>42388</v>
      </c>
      <c r="D119" s="212" t="s">
        <v>1012</v>
      </c>
      <c r="E119" s="35">
        <v>42388</v>
      </c>
      <c r="F119" s="144" t="s">
        <v>125</v>
      </c>
      <c r="G119" s="191" t="s">
        <v>105</v>
      </c>
      <c r="H119" s="198" t="s">
        <v>1403</v>
      </c>
      <c r="I119" s="186"/>
      <c r="J119" s="186"/>
      <c r="K119" s="185"/>
      <c r="L119" s="186"/>
      <c r="M119" s="36">
        <v>500000000</v>
      </c>
      <c r="N119" s="37" t="s">
        <v>34</v>
      </c>
      <c r="O119" s="37" t="s">
        <v>812</v>
      </c>
      <c r="P119" s="47" t="str">
        <f>IF(AND('331-CT'!$F$5=TH!H119,OR(N119="331",O119="331")),"x","")</f>
        <v/>
      </c>
      <c r="Q119" s="47" t="str">
        <f>IF(AND(B119='111'!$L$11,OR($N119=$Q$7,$O119=$Q$7)),"x","")</f>
        <v/>
      </c>
      <c r="R119" s="47" t="str">
        <f>IF(AND($N119=$Q$7,$B119&lt;'111'!$L$11),"x","")</f>
        <v>x</v>
      </c>
      <c r="S119" s="47" t="str">
        <f>IF(AND($O119=$Q$7,$B119&lt;'111'!$L$11),"x","")</f>
        <v/>
      </c>
    </row>
    <row r="120" spans="1:19" ht="15.75" customHeight="1">
      <c r="A120" s="152" t="str">
        <f>IF(B120&lt;&gt;"",IF(AND(B120='IN-TC'!$S$4,OR(TH!N120="1111",TH!O120="1111")),TH!D120,""),"")</f>
        <v/>
      </c>
      <c r="B120" s="34">
        <f t="shared" si="4"/>
        <v>1</v>
      </c>
      <c r="C120" s="35">
        <f t="shared" si="5"/>
        <v>42388</v>
      </c>
      <c r="D120" s="212" t="s">
        <v>955</v>
      </c>
      <c r="E120" s="35">
        <v>42388</v>
      </c>
      <c r="F120" s="144" t="s">
        <v>315</v>
      </c>
      <c r="G120" s="191" t="s">
        <v>206</v>
      </c>
      <c r="H120" s="198" t="s">
        <v>823</v>
      </c>
      <c r="I120" s="186"/>
      <c r="J120" s="186"/>
      <c r="K120" s="185"/>
      <c r="L120" s="186"/>
      <c r="M120" s="36">
        <v>114774000</v>
      </c>
      <c r="N120" s="37" t="s">
        <v>8</v>
      </c>
      <c r="O120" s="37" t="s">
        <v>34</v>
      </c>
      <c r="P120" s="47" t="str">
        <f>IF(AND('331-CT'!$F$5=TH!H120,OR(N120="331",O120="331")),"x","")</f>
        <v/>
      </c>
      <c r="Q120" s="47" t="str">
        <f>IF(AND(B120='111'!$L$11,OR($N120=$Q$7,$O120=$Q$7)),"x","")</f>
        <v/>
      </c>
      <c r="R120" s="47" t="str">
        <f>IF(AND($N120=$Q$7,$B120&lt;'111'!$L$11),"x","")</f>
        <v/>
      </c>
      <c r="S120" s="47" t="str">
        <f>IF(AND($O120=$Q$7,$B120&lt;'111'!$L$11),"x","")</f>
        <v>x</v>
      </c>
    </row>
    <row r="121" spans="1:19" ht="15.75" customHeight="1">
      <c r="A121" s="152" t="str">
        <f>IF(B121&lt;&gt;"",IF(AND(B121='IN-TC'!$S$4,OR(TH!N121="1111",TH!O121="1111")),TH!D121,""),"")</f>
        <v/>
      </c>
      <c r="B121" s="34">
        <f t="shared" si="4"/>
        <v>1</v>
      </c>
      <c r="C121" s="35">
        <f t="shared" si="5"/>
        <v>42388</v>
      </c>
      <c r="D121" s="212" t="s">
        <v>956</v>
      </c>
      <c r="E121" s="35">
        <v>42388</v>
      </c>
      <c r="F121" s="144" t="s">
        <v>316</v>
      </c>
      <c r="G121" s="191" t="s">
        <v>105</v>
      </c>
      <c r="H121" s="198" t="s">
        <v>1409</v>
      </c>
      <c r="I121" s="186"/>
      <c r="J121" s="186"/>
      <c r="K121" s="185"/>
      <c r="L121" s="186"/>
      <c r="M121" s="36">
        <v>200000000</v>
      </c>
      <c r="N121" s="37" t="s">
        <v>812</v>
      </c>
      <c r="O121" s="37" t="s">
        <v>34</v>
      </c>
      <c r="P121" s="47" t="str">
        <f>IF(AND('331-CT'!$F$5=TH!H121,OR(N121="331",O121="331")),"x","")</f>
        <v/>
      </c>
      <c r="Q121" s="47" t="str">
        <f>IF(AND(B121='111'!$L$11,OR($N121=$Q$7,$O121=$Q$7)),"x","")</f>
        <v/>
      </c>
      <c r="R121" s="47" t="str">
        <f>IF(AND($N121=$Q$7,$B121&lt;'111'!$L$11),"x","")</f>
        <v/>
      </c>
      <c r="S121" s="47" t="str">
        <f>IF(AND($O121=$Q$7,$B121&lt;'111'!$L$11),"x","")</f>
        <v>x</v>
      </c>
    </row>
    <row r="122" spans="1:19" ht="15.75" customHeight="1">
      <c r="A122" s="152" t="str">
        <f>IF(B122&lt;&gt;"",IF(AND(B122='IN-TC'!$S$4,OR(TH!N122="1111",TH!O122="1111")),TH!D122,""),"")</f>
        <v/>
      </c>
      <c r="B122" s="34">
        <f t="shared" si="4"/>
        <v>1</v>
      </c>
      <c r="C122" s="35">
        <f t="shared" si="5"/>
        <v>42388</v>
      </c>
      <c r="D122" s="212" t="s">
        <v>956</v>
      </c>
      <c r="E122" s="35">
        <v>42388</v>
      </c>
      <c r="F122" s="144" t="s">
        <v>1424</v>
      </c>
      <c r="G122" s="191"/>
      <c r="H122" s="198"/>
      <c r="I122" s="186"/>
      <c r="J122" s="186"/>
      <c r="K122" s="185"/>
      <c r="L122" s="186"/>
      <c r="M122" s="36">
        <v>66000</v>
      </c>
      <c r="N122" s="37" t="s">
        <v>1425</v>
      </c>
      <c r="O122" s="37" t="s">
        <v>34</v>
      </c>
      <c r="P122" s="47" t="str">
        <f>IF(AND('331-CT'!$F$5=TH!H122,OR(N122="331",O122="331")),"x","")</f>
        <v/>
      </c>
      <c r="Q122" s="47" t="str">
        <f>IF(AND(B122='111'!$L$11,OR($N122=$Q$7,$O122=$Q$7)),"x","")</f>
        <v/>
      </c>
      <c r="R122" s="47" t="str">
        <f>IF(AND($N122=$Q$7,$B122&lt;'111'!$L$11),"x","")</f>
        <v/>
      </c>
      <c r="S122" s="47" t="str">
        <f>IF(AND($O122=$Q$7,$B122&lt;'111'!$L$11),"x","")</f>
        <v>x</v>
      </c>
    </row>
    <row r="123" spans="1:19" ht="15.75" customHeight="1">
      <c r="A123" s="152" t="str">
        <f>IF(B123&lt;&gt;"",IF(AND(B123='IN-TC'!$S$4,OR(TH!N123="1111",TH!O123="1111")),TH!D123,""),"")</f>
        <v/>
      </c>
      <c r="B123" s="34">
        <f t="shared" si="4"/>
        <v>1</v>
      </c>
      <c r="C123" s="35">
        <f t="shared" si="5"/>
        <v>42388</v>
      </c>
      <c r="D123" s="212" t="s">
        <v>957</v>
      </c>
      <c r="E123" s="35">
        <v>42388</v>
      </c>
      <c r="F123" s="144" t="s">
        <v>317</v>
      </c>
      <c r="G123" s="191" t="s">
        <v>204</v>
      </c>
      <c r="H123" s="198"/>
      <c r="I123" s="186"/>
      <c r="J123" s="186"/>
      <c r="K123" s="185"/>
      <c r="L123" s="186"/>
      <c r="M123" s="36">
        <v>50105000</v>
      </c>
      <c r="N123" s="37"/>
      <c r="O123" s="37" t="s">
        <v>34</v>
      </c>
      <c r="P123" s="47" t="str">
        <f>IF(AND('331-CT'!$F$5=TH!H123,OR(N123="331",O123="331")),"x","")</f>
        <v/>
      </c>
      <c r="Q123" s="47" t="str">
        <f>IF(AND(B123='111'!$L$11,OR($N123=$Q$7,$O123=$Q$7)),"x","")</f>
        <v/>
      </c>
      <c r="R123" s="47" t="str">
        <f>IF(AND($N123=$Q$7,$B123&lt;'111'!$L$11),"x","")</f>
        <v/>
      </c>
      <c r="S123" s="47" t="str">
        <f>IF(AND($O123=$Q$7,$B123&lt;'111'!$L$11),"x","")</f>
        <v>x</v>
      </c>
    </row>
    <row r="124" spans="1:19" ht="15.75" customHeight="1">
      <c r="A124" s="152" t="str">
        <f>IF(B124&lt;&gt;"",IF(AND(B124='IN-TC'!$S$4,OR(TH!N124="1111",TH!O124="1111")),TH!D124,""),"")</f>
        <v/>
      </c>
      <c r="B124" s="34">
        <f t="shared" si="4"/>
        <v>1</v>
      </c>
      <c r="C124" s="35">
        <f t="shared" si="5"/>
        <v>42388</v>
      </c>
      <c r="D124" s="212" t="s">
        <v>958</v>
      </c>
      <c r="E124" s="35">
        <v>42388</v>
      </c>
      <c r="F124" s="144" t="s">
        <v>318</v>
      </c>
      <c r="G124" s="191" t="s">
        <v>216</v>
      </c>
      <c r="H124" s="198"/>
      <c r="I124" s="186"/>
      <c r="J124" s="186"/>
      <c r="K124" s="185"/>
      <c r="L124" s="186"/>
      <c r="M124" s="36">
        <v>400000</v>
      </c>
      <c r="N124" s="37"/>
      <c r="O124" s="37" t="s">
        <v>34</v>
      </c>
      <c r="P124" s="47" t="str">
        <f>IF(AND('331-CT'!$F$5=TH!H124,OR(N124="331",O124="331")),"x","")</f>
        <v/>
      </c>
      <c r="Q124" s="47" t="str">
        <f>IF(AND(B124='111'!$L$11,OR($N124=$Q$7,$O124=$Q$7)),"x","")</f>
        <v/>
      </c>
      <c r="R124" s="47" t="str">
        <f>IF(AND($N124=$Q$7,$B124&lt;'111'!$L$11),"x","")</f>
        <v/>
      </c>
      <c r="S124" s="47" t="str">
        <f>IF(AND($O124=$Q$7,$B124&lt;'111'!$L$11),"x","")</f>
        <v>x</v>
      </c>
    </row>
    <row r="125" spans="1:19" ht="15.75" customHeight="1">
      <c r="A125" s="152" t="str">
        <f>IF(B125&lt;&gt;"",IF(AND(B125='IN-TC'!$S$4,OR(TH!N125="1111",TH!O125="1111")),TH!D125,""),"")</f>
        <v/>
      </c>
      <c r="B125" s="34">
        <f t="shared" si="4"/>
        <v>1</v>
      </c>
      <c r="C125" s="35">
        <f t="shared" si="5"/>
        <v>42388</v>
      </c>
      <c r="D125" s="212" t="s">
        <v>959</v>
      </c>
      <c r="E125" s="35">
        <v>42388</v>
      </c>
      <c r="F125" s="144" t="s">
        <v>319</v>
      </c>
      <c r="G125" s="191" t="s">
        <v>110</v>
      </c>
      <c r="H125" s="198"/>
      <c r="I125" s="186"/>
      <c r="J125" s="186"/>
      <c r="K125" s="185"/>
      <c r="L125" s="186"/>
      <c r="M125" s="36">
        <v>1000000</v>
      </c>
      <c r="N125" s="37"/>
      <c r="O125" s="37" t="s">
        <v>34</v>
      </c>
      <c r="P125" s="47" t="str">
        <f>IF(AND('331-CT'!$F$5=TH!H125,OR(N125="331",O125="331")),"x","")</f>
        <v/>
      </c>
      <c r="Q125" s="47" t="str">
        <f>IF(AND(B125='111'!$L$11,OR($N125=$Q$7,$O125=$Q$7)),"x","")</f>
        <v/>
      </c>
      <c r="R125" s="47" t="str">
        <f>IF(AND($N125=$Q$7,$B125&lt;'111'!$L$11),"x","")</f>
        <v/>
      </c>
      <c r="S125" s="47" t="str">
        <f>IF(AND($O125=$Q$7,$B125&lt;'111'!$L$11),"x","")</f>
        <v>x</v>
      </c>
    </row>
    <row r="126" spans="1:19" ht="15.75" customHeight="1">
      <c r="A126" s="152" t="str">
        <f>IF(B126&lt;&gt;"",IF(AND(B126='IN-TC'!$S$4,OR(TH!N126="1111",TH!O126="1111")),TH!D126,""),"")</f>
        <v/>
      </c>
      <c r="B126" s="34">
        <f t="shared" si="4"/>
        <v>1</v>
      </c>
      <c r="C126" s="35">
        <f t="shared" si="5"/>
        <v>42388</v>
      </c>
      <c r="D126" s="212" t="s">
        <v>960</v>
      </c>
      <c r="E126" s="35">
        <v>42388</v>
      </c>
      <c r="F126" s="144" t="s">
        <v>295</v>
      </c>
      <c r="G126" s="191" t="s">
        <v>111</v>
      </c>
      <c r="H126" s="198"/>
      <c r="I126" s="186"/>
      <c r="J126" s="186"/>
      <c r="K126" s="185"/>
      <c r="L126" s="186"/>
      <c r="M126" s="36">
        <v>666000</v>
      </c>
      <c r="N126" s="37"/>
      <c r="O126" s="37" t="s">
        <v>34</v>
      </c>
      <c r="P126" s="47" t="str">
        <f>IF(AND('331-CT'!$F$5=TH!H126,OR(N126="331",O126="331")),"x","")</f>
        <v/>
      </c>
      <c r="Q126" s="47" t="str">
        <f>IF(AND(B126='111'!$L$11,OR($N126=$Q$7,$O126=$Q$7)),"x","")</f>
        <v/>
      </c>
      <c r="R126" s="47" t="str">
        <f>IF(AND($N126=$Q$7,$B126&lt;'111'!$L$11),"x","")</f>
        <v/>
      </c>
      <c r="S126" s="47" t="str">
        <f>IF(AND($O126=$Q$7,$B126&lt;'111'!$L$11),"x","")</f>
        <v>x</v>
      </c>
    </row>
    <row r="127" spans="1:19" ht="15.75" customHeight="1">
      <c r="A127" s="152" t="str">
        <f>IF(B127&lt;&gt;"",IF(AND(B127='IN-TC'!$S$4,OR(TH!N127="1111",TH!O127="1111")),TH!D127,""),"")</f>
        <v/>
      </c>
      <c r="B127" s="34">
        <f t="shared" si="4"/>
        <v>1</v>
      </c>
      <c r="C127" s="35">
        <f t="shared" si="5"/>
        <v>42390</v>
      </c>
      <c r="D127" s="212" t="s">
        <v>961</v>
      </c>
      <c r="E127" s="35">
        <v>42390</v>
      </c>
      <c r="F127" s="144" t="s">
        <v>320</v>
      </c>
      <c r="G127" s="191" t="s">
        <v>215</v>
      </c>
      <c r="H127" s="198"/>
      <c r="I127" s="186"/>
      <c r="J127" s="186"/>
      <c r="K127" s="185"/>
      <c r="L127" s="186"/>
      <c r="M127" s="36">
        <v>10000000</v>
      </c>
      <c r="N127" s="37"/>
      <c r="O127" s="37" t="s">
        <v>34</v>
      </c>
      <c r="P127" s="47" t="str">
        <f>IF(AND('331-CT'!$F$5=TH!H127,OR(N127="331",O127="331")),"x","")</f>
        <v/>
      </c>
      <c r="Q127" s="47" t="str">
        <f>IF(AND(B127='111'!$L$11,OR($N127=$Q$7,$O127=$Q$7)),"x","")</f>
        <v/>
      </c>
      <c r="R127" s="47" t="str">
        <f>IF(AND($N127=$Q$7,$B127&lt;'111'!$L$11),"x","")</f>
        <v/>
      </c>
      <c r="S127" s="47" t="str">
        <f>IF(AND($O127=$Q$7,$B127&lt;'111'!$L$11),"x","")</f>
        <v>x</v>
      </c>
    </row>
    <row r="128" spans="1:19" ht="15.75" customHeight="1">
      <c r="A128" s="152" t="str">
        <f>IF(B128&lt;&gt;"",IF(AND(B128='IN-TC'!$S$4,OR(TH!N128="1111",TH!O128="1111")),TH!D128,""),"")</f>
        <v/>
      </c>
      <c r="B128" s="34">
        <f t="shared" si="4"/>
        <v>1</v>
      </c>
      <c r="C128" s="35">
        <f t="shared" si="5"/>
        <v>42390</v>
      </c>
      <c r="D128" s="212" t="s">
        <v>962</v>
      </c>
      <c r="E128" s="35">
        <v>42390</v>
      </c>
      <c r="F128" s="144" t="s">
        <v>321</v>
      </c>
      <c r="G128" s="191" t="s">
        <v>217</v>
      </c>
      <c r="H128" s="198"/>
      <c r="I128" s="186"/>
      <c r="J128" s="186"/>
      <c r="K128" s="185"/>
      <c r="L128" s="186"/>
      <c r="M128" s="36">
        <v>5000000</v>
      </c>
      <c r="N128" s="37"/>
      <c r="O128" s="37" t="s">
        <v>34</v>
      </c>
      <c r="P128" s="47" t="str">
        <f>IF(AND('331-CT'!$F$5=TH!H128,OR(N128="331",O128="331")),"x","")</f>
        <v/>
      </c>
      <c r="Q128" s="47" t="str">
        <f>IF(AND(B128='111'!$L$11,OR($N128=$Q$7,$O128=$Q$7)),"x","")</f>
        <v/>
      </c>
      <c r="R128" s="47" t="str">
        <f>IF(AND($N128=$Q$7,$B128&lt;'111'!$L$11),"x","")</f>
        <v/>
      </c>
      <c r="S128" s="47" t="str">
        <f>IF(AND($O128=$Q$7,$B128&lt;'111'!$L$11),"x","")</f>
        <v>x</v>
      </c>
    </row>
    <row r="129" spans="1:19" ht="15.75" customHeight="1">
      <c r="A129" s="152" t="str">
        <f>IF(B129&lt;&gt;"",IF(AND(B129='IN-TC'!$S$4,OR(TH!N129="1111",TH!O129="1111")),TH!D129,""),"")</f>
        <v/>
      </c>
      <c r="B129" s="34">
        <f t="shared" si="4"/>
        <v>1</v>
      </c>
      <c r="C129" s="35">
        <f t="shared" si="5"/>
        <v>42390</v>
      </c>
      <c r="D129" s="212" t="s">
        <v>963</v>
      </c>
      <c r="E129" s="35">
        <v>42390</v>
      </c>
      <c r="F129" s="144" t="s">
        <v>322</v>
      </c>
      <c r="G129" s="191" t="s">
        <v>220</v>
      </c>
      <c r="H129" s="198"/>
      <c r="I129" s="186"/>
      <c r="J129" s="186"/>
      <c r="K129" s="185"/>
      <c r="L129" s="186"/>
      <c r="M129" s="36">
        <v>100050000</v>
      </c>
      <c r="N129" s="37"/>
      <c r="O129" s="37" t="s">
        <v>34</v>
      </c>
      <c r="P129" s="47" t="str">
        <f>IF(AND('331-CT'!$F$5=TH!H129,OR(N129="331",O129="331")),"x","")</f>
        <v/>
      </c>
      <c r="Q129" s="47" t="str">
        <f>IF(AND(B129='111'!$L$11,OR($N129=$Q$7,$O129=$Q$7)),"x","")</f>
        <v/>
      </c>
      <c r="R129" s="47" t="str">
        <f>IF(AND($N129=$Q$7,$B129&lt;'111'!$L$11),"x","")</f>
        <v/>
      </c>
      <c r="S129" s="47" t="str">
        <f>IF(AND($O129=$Q$7,$B129&lt;'111'!$L$11),"x","")</f>
        <v>x</v>
      </c>
    </row>
    <row r="130" spans="1:19" ht="15.75" customHeight="1">
      <c r="A130" s="152" t="str">
        <f>IF(B130&lt;&gt;"",IF(AND(B130='IN-TC'!$S$4,OR(TH!N130="1111",TH!O130="1111")),TH!D130,""),"")</f>
        <v/>
      </c>
      <c r="B130" s="34">
        <f t="shared" si="4"/>
        <v>1</v>
      </c>
      <c r="C130" s="35">
        <f t="shared" si="5"/>
        <v>42390</v>
      </c>
      <c r="D130" s="212" t="s">
        <v>964</v>
      </c>
      <c r="E130" s="35">
        <v>42390</v>
      </c>
      <c r="F130" s="144" t="s">
        <v>1395</v>
      </c>
      <c r="G130" s="191" t="s">
        <v>206</v>
      </c>
      <c r="H130" s="198" t="s">
        <v>847</v>
      </c>
      <c r="I130" s="186"/>
      <c r="J130" s="186"/>
      <c r="K130" s="185"/>
      <c r="L130" s="186"/>
      <c r="M130" s="36">
        <v>30000000</v>
      </c>
      <c r="N130" s="37" t="s">
        <v>8</v>
      </c>
      <c r="O130" s="37" t="s">
        <v>34</v>
      </c>
      <c r="P130" s="47" t="str">
        <f>IF(AND('331-CT'!$F$5=TH!H130,OR(N130="331",O130="331")),"x","")</f>
        <v/>
      </c>
      <c r="Q130" s="47" t="str">
        <f>IF(AND(B130='111'!$L$11,OR($N130=$Q$7,$O130=$Q$7)),"x","")</f>
        <v/>
      </c>
      <c r="R130" s="47" t="str">
        <f>IF(AND($N130=$Q$7,$B130&lt;'111'!$L$11),"x","")</f>
        <v/>
      </c>
      <c r="S130" s="47" t="str">
        <f>IF(AND($O130=$Q$7,$B130&lt;'111'!$L$11),"x","")</f>
        <v>x</v>
      </c>
    </row>
    <row r="131" spans="1:19" ht="15.75" customHeight="1">
      <c r="A131" s="152" t="str">
        <f>IF(B131&lt;&gt;"",IF(AND(B131='IN-TC'!$S$4,OR(TH!N131="1111",TH!O131="1111")),TH!D131,""),"")</f>
        <v/>
      </c>
      <c r="B131" s="34">
        <f t="shared" si="4"/>
        <v>1</v>
      </c>
      <c r="C131" s="35">
        <f t="shared" si="5"/>
        <v>42390</v>
      </c>
      <c r="D131" s="212" t="s">
        <v>964</v>
      </c>
      <c r="E131" s="35">
        <v>42390</v>
      </c>
      <c r="F131" s="144" t="s">
        <v>1424</v>
      </c>
      <c r="G131" s="191"/>
      <c r="H131" s="198"/>
      <c r="I131" s="186"/>
      <c r="J131" s="186"/>
      <c r="K131" s="185"/>
      <c r="L131" s="186"/>
      <c r="M131" s="36">
        <v>17000</v>
      </c>
      <c r="N131" s="37" t="s">
        <v>1425</v>
      </c>
      <c r="O131" s="37" t="s">
        <v>34</v>
      </c>
      <c r="P131" s="47" t="str">
        <f>IF(AND('331-CT'!$F$5=TH!H131,OR(N131="331",O131="331")),"x","")</f>
        <v/>
      </c>
      <c r="Q131" s="47" t="str">
        <f>IF(AND(B131='111'!$L$11,OR($N131=$Q$7,$O131=$Q$7)),"x","")</f>
        <v/>
      </c>
      <c r="R131" s="47" t="str">
        <f>IF(AND($N131=$Q$7,$B131&lt;'111'!$L$11),"x","")</f>
        <v/>
      </c>
      <c r="S131" s="47" t="str">
        <f>IF(AND($O131=$Q$7,$B131&lt;'111'!$L$11),"x","")</f>
        <v>x</v>
      </c>
    </row>
    <row r="132" spans="1:19" ht="15.75" customHeight="1">
      <c r="A132" s="152" t="str">
        <f>IF(B132&lt;&gt;"",IF(AND(B132='IN-TC'!$S$4,OR(TH!N132="1111",TH!O132="1111")),TH!D132,""),"")</f>
        <v/>
      </c>
      <c r="B132" s="34">
        <f t="shared" si="4"/>
        <v>1</v>
      </c>
      <c r="C132" s="35">
        <f t="shared" si="5"/>
        <v>42390</v>
      </c>
      <c r="D132" s="212" t="s">
        <v>965</v>
      </c>
      <c r="E132" s="35">
        <v>42390</v>
      </c>
      <c r="F132" s="144" t="s">
        <v>323</v>
      </c>
      <c r="G132" s="191" t="s">
        <v>209</v>
      </c>
      <c r="H132" s="198"/>
      <c r="I132" s="186"/>
      <c r="J132" s="186"/>
      <c r="K132" s="185"/>
      <c r="L132" s="186"/>
      <c r="M132" s="36">
        <v>2222000</v>
      </c>
      <c r="N132" s="37"/>
      <c r="O132" s="37" t="s">
        <v>34</v>
      </c>
      <c r="P132" s="47" t="str">
        <f>IF(AND('331-CT'!$F$5=TH!H132,OR(N132="331",O132="331")),"x","")</f>
        <v/>
      </c>
      <c r="Q132" s="47" t="str">
        <f>IF(AND(B132='111'!$L$11,OR($N132=$Q$7,$O132=$Q$7)),"x","")</f>
        <v/>
      </c>
      <c r="R132" s="47" t="str">
        <f>IF(AND($N132=$Q$7,$B132&lt;'111'!$L$11),"x","")</f>
        <v/>
      </c>
      <c r="S132" s="47" t="str">
        <f>IF(AND($O132=$Q$7,$B132&lt;'111'!$L$11),"x","")</f>
        <v>x</v>
      </c>
    </row>
    <row r="133" spans="1:19" ht="15.75" customHeight="1">
      <c r="A133" s="152" t="str">
        <f>IF(B133&lt;&gt;"",IF(AND(B133='IN-TC'!$S$4,OR(TH!N133="1111",TH!O133="1111")),TH!D133,""),"")</f>
        <v/>
      </c>
      <c r="B133" s="34">
        <f t="shared" si="4"/>
        <v>1</v>
      </c>
      <c r="C133" s="35">
        <f t="shared" si="5"/>
        <v>42390</v>
      </c>
      <c r="D133" s="212" t="s">
        <v>966</v>
      </c>
      <c r="E133" s="35">
        <v>42390</v>
      </c>
      <c r="F133" s="144" t="s">
        <v>324</v>
      </c>
      <c r="G133" s="191" t="s">
        <v>209</v>
      </c>
      <c r="H133" s="198"/>
      <c r="I133" s="186"/>
      <c r="J133" s="186"/>
      <c r="K133" s="185"/>
      <c r="L133" s="186"/>
      <c r="M133" s="36">
        <v>284000</v>
      </c>
      <c r="N133" s="37"/>
      <c r="O133" s="37" t="s">
        <v>34</v>
      </c>
      <c r="P133" s="47" t="str">
        <f>IF(AND('331-CT'!$F$5=TH!H133,OR(N133="331",O133="331")),"x","")</f>
        <v/>
      </c>
      <c r="Q133" s="47" t="str">
        <f>IF(AND(B133='111'!$L$11,OR($N133=$Q$7,$O133=$Q$7)),"x","")</f>
        <v/>
      </c>
      <c r="R133" s="47" t="str">
        <f>IF(AND($N133=$Q$7,$B133&lt;'111'!$L$11),"x","")</f>
        <v/>
      </c>
      <c r="S133" s="47" t="str">
        <f>IF(AND($O133=$Q$7,$B133&lt;'111'!$L$11),"x","")</f>
        <v>x</v>
      </c>
    </row>
    <row r="134" spans="1:19" ht="15.75" customHeight="1">
      <c r="A134" s="152" t="str">
        <f>IF(B134&lt;&gt;"",IF(AND(B134='IN-TC'!$S$4,OR(TH!N134="1111",TH!O134="1111")),TH!D134,""),"")</f>
        <v/>
      </c>
      <c r="B134" s="34">
        <f t="shared" si="4"/>
        <v>1</v>
      </c>
      <c r="C134" s="35">
        <f t="shared" si="5"/>
        <v>42390</v>
      </c>
      <c r="D134" s="212"/>
      <c r="E134" s="35">
        <v>42390</v>
      </c>
      <c r="F134" s="144" t="s">
        <v>1486</v>
      </c>
      <c r="G134" s="191" t="s">
        <v>204</v>
      </c>
      <c r="H134" s="198" t="s">
        <v>823</v>
      </c>
      <c r="I134" s="186">
        <v>3323</v>
      </c>
      <c r="J134" s="186">
        <v>26000</v>
      </c>
      <c r="K134" s="185"/>
      <c r="L134" s="186"/>
      <c r="M134" s="36">
        <f>ROUND(I134*J134,0)</f>
        <v>86398000</v>
      </c>
      <c r="N134" s="37" t="s">
        <v>1443</v>
      </c>
      <c r="O134" s="37" t="s">
        <v>8</v>
      </c>
      <c r="P134" s="47" t="str">
        <f>IF(AND('331-CT'!$F$5=TH!H134,OR(N134="331",O134="331")),"x","")</f>
        <v/>
      </c>
      <c r="Q134" s="47" t="str">
        <f>IF(AND(B134='111'!$L$11,OR($N134=$Q$7,$O134=$Q$7)),"x","")</f>
        <v/>
      </c>
      <c r="R134" s="47" t="str">
        <f>IF(AND($N134=$Q$7,$B134&lt;'111'!$L$11),"x","")</f>
        <v/>
      </c>
      <c r="S134" s="47" t="str">
        <f>IF(AND($O134=$Q$7,$B134&lt;'111'!$L$11),"x","")</f>
        <v/>
      </c>
    </row>
    <row r="135" spans="1:19" ht="15.75" customHeight="1">
      <c r="A135" s="152" t="str">
        <f>IF(B135&lt;&gt;"",IF(AND(B135='IN-TC'!$S$4,OR(TH!N135="1111",TH!O135="1111")),TH!D135,""),"")</f>
        <v/>
      </c>
      <c r="B135" s="34">
        <f t="shared" si="4"/>
        <v>1</v>
      </c>
      <c r="C135" s="35">
        <f t="shared" si="5"/>
        <v>42391</v>
      </c>
      <c r="D135" s="212" t="s">
        <v>1013</v>
      </c>
      <c r="E135" s="35">
        <v>42391</v>
      </c>
      <c r="F135" s="144" t="s">
        <v>126</v>
      </c>
      <c r="G135" s="191" t="s">
        <v>105</v>
      </c>
      <c r="H135" s="198" t="s">
        <v>1409</v>
      </c>
      <c r="I135" s="186"/>
      <c r="J135" s="186"/>
      <c r="K135" s="185"/>
      <c r="L135" s="186"/>
      <c r="M135" s="36">
        <v>200000000</v>
      </c>
      <c r="N135" s="37" t="s">
        <v>34</v>
      </c>
      <c r="O135" s="37" t="s">
        <v>812</v>
      </c>
      <c r="P135" s="47" t="str">
        <f>IF(AND('331-CT'!$F$5=TH!H135,OR(N135="331",O135="331")),"x","")</f>
        <v/>
      </c>
      <c r="Q135" s="47" t="str">
        <f>IF(AND(B135='111'!$L$11,OR($N135=$Q$7,$O135=$Q$7)),"x","")</f>
        <v/>
      </c>
      <c r="R135" s="47" t="str">
        <f>IF(AND($N135=$Q$7,$B135&lt;'111'!$L$11),"x","")</f>
        <v>x</v>
      </c>
      <c r="S135" s="47" t="str">
        <f>IF(AND($O135=$Q$7,$B135&lt;'111'!$L$11),"x","")</f>
        <v/>
      </c>
    </row>
    <row r="136" spans="1:19" ht="15.75" customHeight="1">
      <c r="A136" s="152" t="str">
        <f>IF(B136&lt;&gt;"",IF(AND(B136='IN-TC'!$S$4,OR(TH!N136="1111",TH!O136="1111")),TH!D136,""),"")</f>
        <v/>
      </c>
      <c r="B136" s="34">
        <f t="shared" si="4"/>
        <v>1</v>
      </c>
      <c r="C136" s="35">
        <f t="shared" si="5"/>
        <v>42391</v>
      </c>
      <c r="D136" s="212" t="s">
        <v>1014</v>
      </c>
      <c r="E136" s="35">
        <v>42391</v>
      </c>
      <c r="F136" s="144" t="s">
        <v>127</v>
      </c>
      <c r="G136" s="191" t="s">
        <v>106</v>
      </c>
      <c r="H136" s="198"/>
      <c r="I136" s="186"/>
      <c r="J136" s="186"/>
      <c r="K136" s="185"/>
      <c r="L136" s="186"/>
      <c r="M136" s="36">
        <v>13405000</v>
      </c>
      <c r="N136" s="37" t="s">
        <v>34</v>
      </c>
      <c r="O136" s="37" t="s">
        <v>1410</v>
      </c>
      <c r="P136" s="47" t="str">
        <f>IF(AND('331-CT'!$F$5=TH!H136,OR(N136="331",O136="331")),"x","")</f>
        <v/>
      </c>
      <c r="Q136" s="47" t="str">
        <f>IF(AND(B136='111'!$L$11,OR($N136=$Q$7,$O136=$Q$7)),"x","")</f>
        <v/>
      </c>
      <c r="R136" s="47" t="str">
        <f>IF(AND($N136=$Q$7,$B136&lt;'111'!$L$11),"x","")</f>
        <v>x</v>
      </c>
      <c r="S136" s="47" t="str">
        <f>IF(AND($O136=$Q$7,$B136&lt;'111'!$L$11),"x","")</f>
        <v/>
      </c>
    </row>
    <row r="137" spans="1:19" ht="15.75" customHeight="1">
      <c r="A137" s="152" t="str">
        <f>IF(B137&lt;&gt;"",IF(AND(B137='IN-TC'!$S$4,OR(TH!N137="1111",TH!O137="1111")),TH!D137,""),"")</f>
        <v/>
      </c>
      <c r="B137" s="34">
        <f t="shared" si="4"/>
        <v>1</v>
      </c>
      <c r="C137" s="35">
        <f t="shared" si="5"/>
        <v>42391</v>
      </c>
      <c r="D137" s="212" t="s">
        <v>1015</v>
      </c>
      <c r="E137" s="35">
        <v>42391</v>
      </c>
      <c r="F137" s="144" t="s">
        <v>128</v>
      </c>
      <c r="G137" s="191" t="s">
        <v>107</v>
      </c>
      <c r="H137" s="198" t="s">
        <v>1411</v>
      </c>
      <c r="I137" s="186"/>
      <c r="J137" s="186"/>
      <c r="K137" s="185"/>
      <c r="L137" s="186"/>
      <c r="M137" s="36">
        <v>15000000</v>
      </c>
      <c r="N137" s="37" t="s">
        <v>34</v>
      </c>
      <c r="O137" s="37" t="s">
        <v>812</v>
      </c>
      <c r="P137" s="47" t="str">
        <f>IF(AND('331-CT'!$F$5=TH!H137,OR(N137="331",O137="331")),"x","")</f>
        <v/>
      </c>
      <c r="Q137" s="47" t="str">
        <f>IF(AND(B137='111'!$L$11,OR($N137=$Q$7,$O137=$Q$7)),"x","")</f>
        <v/>
      </c>
      <c r="R137" s="47" t="str">
        <f>IF(AND($N137=$Q$7,$B137&lt;'111'!$L$11),"x","")</f>
        <v>x</v>
      </c>
      <c r="S137" s="47" t="str">
        <f>IF(AND($O137=$Q$7,$B137&lt;'111'!$L$11),"x","")</f>
        <v/>
      </c>
    </row>
    <row r="138" spans="1:19" ht="15.75" customHeight="1">
      <c r="A138" s="152" t="str">
        <f>IF(B138&lt;&gt;"",IF(AND(B138='IN-TC'!$S$4,OR(TH!N138="1111",TH!O138="1111")),TH!D138,""),"")</f>
        <v/>
      </c>
      <c r="B138" s="34">
        <f t="shared" si="4"/>
        <v>1</v>
      </c>
      <c r="C138" s="35">
        <f t="shared" si="5"/>
        <v>42391</v>
      </c>
      <c r="D138" s="212" t="s">
        <v>967</v>
      </c>
      <c r="E138" s="35">
        <v>42391</v>
      </c>
      <c r="F138" s="144" t="s">
        <v>325</v>
      </c>
      <c r="G138" s="191" t="s">
        <v>112</v>
      </c>
      <c r="H138" s="198"/>
      <c r="I138" s="186"/>
      <c r="J138" s="186"/>
      <c r="K138" s="185"/>
      <c r="L138" s="186"/>
      <c r="M138" s="36">
        <v>10000000</v>
      </c>
      <c r="N138" s="37"/>
      <c r="O138" s="37" t="s">
        <v>34</v>
      </c>
      <c r="P138" s="47" t="str">
        <f>IF(AND('331-CT'!$F$5=TH!H138,OR(N138="331",O138="331")),"x","")</f>
        <v/>
      </c>
      <c r="Q138" s="47" t="str">
        <f>IF(AND(B138='111'!$L$11,OR($N138=$Q$7,$O138=$Q$7)),"x","")</f>
        <v/>
      </c>
      <c r="R138" s="47" t="str">
        <f>IF(AND($N138=$Q$7,$B138&lt;'111'!$L$11),"x","")</f>
        <v/>
      </c>
      <c r="S138" s="47" t="str">
        <f>IF(AND($O138=$Q$7,$B138&lt;'111'!$L$11),"x","")</f>
        <v>x</v>
      </c>
    </row>
    <row r="139" spans="1:19" ht="15.75" customHeight="1">
      <c r="A139" s="152" t="str">
        <f>IF(B139&lt;&gt;"",IF(AND(B139='IN-TC'!$S$4,OR(TH!N139="1111",TH!O139="1111")),TH!D139,""),"")</f>
        <v/>
      </c>
      <c r="B139" s="34">
        <f t="shared" si="4"/>
        <v>1</v>
      </c>
      <c r="C139" s="35">
        <f t="shared" si="5"/>
        <v>42391</v>
      </c>
      <c r="D139" s="212" t="s">
        <v>968</v>
      </c>
      <c r="E139" s="35">
        <v>42391</v>
      </c>
      <c r="F139" s="144" t="s">
        <v>326</v>
      </c>
      <c r="G139" s="191" t="s">
        <v>104</v>
      </c>
      <c r="H139" s="198"/>
      <c r="I139" s="186"/>
      <c r="J139" s="186"/>
      <c r="K139" s="185"/>
      <c r="L139" s="186"/>
      <c r="M139" s="36">
        <v>170000000</v>
      </c>
      <c r="N139" s="37"/>
      <c r="O139" s="37" t="s">
        <v>34</v>
      </c>
      <c r="P139" s="47" t="str">
        <f>IF(AND('331-CT'!$F$5=TH!H139,OR(N139="331",O139="331")),"x","")</f>
        <v/>
      </c>
      <c r="Q139" s="47" t="str">
        <f>IF(AND(B139='111'!$L$11,OR($N139=$Q$7,$O139=$Q$7)),"x","")</f>
        <v/>
      </c>
      <c r="R139" s="47" t="str">
        <f>IF(AND($N139=$Q$7,$B139&lt;'111'!$L$11),"x","")</f>
        <v/>
      </c>
      <c r="S139" s="47" t="str">
        <f>IF(AND($O139=$Q$7,$B139&lt;'111'!$L$11),"x","")</f>
        <v>x</v>
      </c>
    </row>
    <row r="140" spans="1:19" ht="15.75" customHeight="1">
      <c r="A140" s="152" t="str">
        <f>IF(B140&lt;&gt;"",IF(AND(B140='IN-TC'!$S$4,OR(TH!N140="1111",TH!O140="1111")),TH!D140,""),"")</f>
        <v/>
      </c>
      <c r="B140" s="34">
        <f t="shared" si="4"/>
        <v>1</v>
      </c>
      <c r="C140" s="35">
        <f t="shared" si="5"/>
        <v>42391</v>
      </c>
      <c r="D140" s="212" t="s">
        <v>969</v>
      </c>
      <c r="E140" s="35">
        <v>42391</v>
      </c>
      <c r="F140" s="144" t="s">
        <v>327</v>
      </c>
      <c r="G140" s="191" t="s">
        <v>104</v>
      </c>
      <c r="H140" s="198"/>
      <c r="I140" s="186"/>
      <c r="J140" s="186"/>
      <c r="K140" s="185"/>
      <c r="L140" s="186"/>
      <c r="M140" s="36">
        <v>20000000</v>
      </c>
      <c r="N140" s="37"/>
      <c r="O140" s="37" t="s">
        <v>34</v>
      </c>
      <c r="P140" s="47" t="str">
        <f>IF(AND('331-CT'!$F$5=TH!H140,OR(N140="331",O140="331")),"x","")</f>
        <v/>
      </c>
      <c r="Q140" s="47" t="str">
        <f>IF(AND(B140='111'!$L$11,OR($N140=$Q$7,$O140=$Q$7)),"x","")</f>
        <v/>
      </c>
      <c r="R140" s="47" t="str">
        <f>IF(AND($N140=$Q$7,$B140&lt;'111'!$L$11),"x","")</f>
        <v/>
      </c>
      <c r="S140" s="47" t="str">
        <f>IF(AND($O140=$Q$7,$B140&lt;'111'!$L$11),"x","")</f>
        <v>x</v>
      </c>
    </row>
    <row r="141" spans="1:19" ht="15.75" customHeight="1">
      <c r="A141" s="152" t="str">
        <f>IF(B141&lt;&gt;"",IF(AND(B141='IN-TC'!$S$4,OR(TH!N141="1111",TH!O141="1111")),TH!D141,""),"")</f>
        <v/>
      </c>
      <c r="B141" s="34">
        <f t="shared" ref="B141:B204" si="6">IF(C141&lt;&gt;"",MONTH(C141),"")</f>
        <v>1</v>
      </c>
      <c r="C141" s="35">
        <f t="shared" ref="C141:C204" si="7">E141</f>
        <v>42391</v>
      </c>
      <c r="D141" s="212" t="s">
        <v>970</v>
      </c>
      <c r="E141" s="35">
        <v>42391</v>
      </c>
      <c r="F141" s="144" t="s">
        <v>328</v>
      </c>
      <c r="G141" s="191" t="s">
        <v>204</v>
      </c>
      <c r="H141" s="198"/>
      <c r="I141" s="186"/>
      <c r="J141" s="186"/>
      <c r="K141" s="185"/>
      <c r="L141" s="186"/>
      <c r="M141" s="36">
        <v>28350000</v>
      </c>
      <c r="N141" s="37"/>
      <c r="O141" s="37" t="s">
        <v>34</v>
      </c>
      <c r="P141" s="47" t="str">
        <f>IF(AND('331-CT'!$F$5=TH!H141,OR(N141="331",O141="331")),"x","")</f>
        <v/>
      </c>
      <c r="Q141" s="47" t="str">
        <f>IF(AND(B141='111'!$L$11,OR($N141=$Q$7,$O141=$Q$7)),"x","")</f>
        <v/>
      </c>
      <c r="R141" s="47" t="str">
        <f>IF(AND($N141=$Q$7,$B141&lt;'111'!$L$11),"x","")</f>
        <v/>
      </c>
      <c r="S141" s="47" t="str">
        <f>IF(AND($O141=$Q$7,$B141&lt;'111'!$L$11),"x","")</f>
        <v>x</v>
      </c>
    </row>
    <row r="142" spans="1:19" ht="15.75" customHeight="1">
      <c r="A142" s="152" t="str">
        <f>IF(B142&lt;&gt;"",IF(AND(B142='IN-TC'!$S$4,OR(TH!N142="1111",TH!O142="1111")),TH!D142,""),"")</f>
        <v/>
      </c>
      <c r="B142" s="34">
        <f t="shared" si="6"/>
        <v>1</v>
      </c>
      <c r="C142" s="35">
        <f t="shared" si="7"/>
        <v>42391</v>
      </c>
      <c r="D142" s="212" t="s">
        <v>971</v>
      </c>
      <c r="E142" s="35">
        <v>42391</v>
      </c>
      <c r="F142" s="144" t="s">
        <v>329</v>
      </c>
      <c r="G142" s="191" t="s">
        <v>111</v>
      </c>
      <c r="H142" s="198"/>
      <c r="I142" s="186"/>
      <c r="J142" s="186"/>
      <c r="K142" s="185"/>
      <c r="L142" s="186"/>
      <c r="M142" s="36">
        <v>135000</v>
      </c>
      <c r="N142" s="37"/>
      <c r="O142" s="37" t="s">
        <v>34</v>
      </c>
      <c r="P142" s="47" t="str">
        <f>IF(AND('331-CT'!$F$5=TH!H142,OR(N142="331",O142="331")),"x","")</f>
        <v/>
      </c>
      <c r="Q142" s="47" t="str">
        <f>IF(AND(B142='111'!$L$11,OR($N142=$Q$7,$O142=$Q$7)),"x","")</f>
        <v/>
      </c>
      <c r="R142" s="47" t="str">
        <f>IF(AND($N142=$Q$7,$B142&lt;'111'!$L$11),"x","")</f>
        <v/>
      </c>
      <c r="S142" s="47" t="str">
        <f>IF(AND($O142=$Q$7,$B142&lt;'111'!$L$11),"x","")</f>
        <v>x</v>
      </c>
    </row>
    <row r="143" spans="1:19" ht="15.75" customHeight="1">
      <c r="A143" s="152" t="str">
        <f>IF(B143&lt;&gt;"",IF(AND(B143='IN-TC'!$S$4,OR(TH!N143="1111",TH!O143="1111")),TH!D143,""),"")</f>
        <v/>
      </c>
      <c r="B143" s="34">
        <f t="shared" si="6"/>
        <v>1</v>
      </c>
      <c r="C143" s="35">
        <f t="shared" si="7"/>
        <v>42391</v>
      </c>
      <c r="D143" s="212"/>
      <c r="E143" s="35">
        <v>42391</v>
      </c>
      <c r="F143" s="144" t="s">
        <v>1502</v>
      </c>
      <c r="G143" s="191" t="s">
        <v>1454</v>
      </c>
      <c r="H143" s="198" t="s">
        <v>846</v>
      </c>
      <c r="I143" s="186">
        <v>470</v>
      </c>
      <c r="J143" s="186">
        <v>52000</v>
      </c>
      <c r="K143" s="185"/>
      <c r="L143" s="186"/>
      <c r="M143" s="36">
        <f>ROUND(I143*J143,-3)</f>
        <v>24440000</v>
      </c>
      <c r="N143" s="37" t="s">
        <v>1443</v>
      </c>
      <c r="O143" s="37" t="s">
        <v>8</v>
      </c>
      <c r="P143" s="47" t="str">
        <f>IF(AND('331-CT'!$F$5=TH!H143,OR(N143="331",O143="331")),"x","")</f>
        <v/>
      </c>
      <c r="Q143" s="47" t="str">
        <f>IF(AND(B143='111'!$L$11,OR($N143=$Q$7,$O143=$Q$7)),"x","")</f>
        <v/>
      </c>
      <c r="R143" s="47" t="str">
        <f>IF(AND($N143=$Q$7,$B143&lt;'111'!$L$11),"x","")</f>
        <v/>
      </c>
      <c r="S143" s="47" t="str">
        <f>IF(AND($O143=$Q$7,$B143&lt;'111'!$L$11),"x","")</f>
        <v/>
      </c>
    </row>
    <row r="144" spans="1:19" ht="15.75" customHeight="1">
      <c r="A144" s="152" t="str">
        <f>IF(B144&lt;&gt;"",IF(AND(B144='IN-TC'!$S$4,OR(TH!N144="1111",TH!O144="1111")),TH!D144,""),"")</f>
        <v/>
      </c>
      <c r="B144" s="34">
        <f t="shared" si="6"/>
        <v>1</v>
      </c>
      <c r="C144" s="35">
        <f t="shared" si="7"/>
        <v>42391</v>
      </c>
      <c r="D144" s="212"/>
      <c r="E144" s="35">
        <v>42391</v>
      </c>
      <c r="F144" s="144" t="s">
        <v>1504</v>
      </c>
      <c r="G144" s="191" t="s">
        <v>1454</v>
      </c>
      <c r="H144" s="198" t="s">
        <v>846</v>
      </c>
      <c r="I144" s="186">
        <v>2300</v>
      </c>
      <c r="J144" s="186">
        <v>25000</v>
      </c>
      <c r="K144" s="185"/>
      <c r="L144" s="186"/>
      <c r="M144" s="36">
        <f>ROUND(I144*J144,-3)</f>
        <v>57500000</v>
      </c>
      <c r="N144" s="37" t="s">
        <v>1443</v>
      </c>
      <c r="O144" s="37" t="s">
        <v>8</v>
      </c>
      <c r="P144" s="47" t="str">
        <f>IF(AND('331-CT'!$F$5=TH!H144,OR(N144="331",O144="331")),"x","")</f>
        <v/>
      </c>
      <c r="Q144" s="47" t="str">
        <f>IF(AND(B144='111'!$L$11,OR($N144=$Q$7,$O144=$Q$7)),"x","")</f>
        <v/>
      </c>
      <c r="R144" s="47" t="str">
        <f>IF(AND($N144=$Q$7,$B144&lt;'111'!$L$11),"x","")</f>
        <v/>
      </c>
      <c r="S144" s="47" t="str">
        <f>IF(AND($O144=$Q$7,$B144&lt;'111'!$L$11),"x","")</f>
        <v/>
      </c>
    </row>
    <row r="145" spans="1:19" ht="15.75" customHeight="1">
      <c r="A145" s="152" t="str">
        <f>IF(B145&lt;&gt;"",IF(AND(B145='IN-TC'!$S$4,OR(TH!N145="1111",TH!O145="1111")),TH!D145,""),"")</f>
        <v/>
      </c>
      <c r="B145" s="34">
        <f t="shared" si="6"/>
        <v>1</v>
      </c>
      <c r="C145" s="35">
        <f t="shared" si="7"/>
        <v>42391</v>
      </c>
      <c r="D145" s="212"/>
      <c r="E145" s="35">
        <v>42391</v>
      </c>
      <c r="F145" s="144" t="s">
        <v>1505</v>
      </c>
      <c r="G145" s="191" t="s">
        <v>1454</v>
      </c>
      <c r="H145" s="198" t="s">
        <v>846</v>
      </c>
      <c r="I145" s="186">
        <v>290</v>
      </c>
      <c r="J145" s="186">
        <v>20000</v>
      </c>
      <c r="K145" s="185"/>
      <c r="L145" s="186"/>
      <c r="M145" s="36">
        <f>ROUND(I145*J145,-3)</f>
        <v>5800000</v>
      </c>
      <c r="N145" s="37" t="s">
        <v>1443</v>
      </c>
      <c r="O145" s="37" t="s">
        <v>8</v>
      </c>
      <c r="P145" s="47" t="str">
        <f>IF(AND('331-CT'!$F$5=TH!H145,OR(N145="331",O145="331")),"x","")</f>
        <v/>
      </c>
      <c r="Q145" s="47" t="str">
        <f>IF(AND(B145='111'!$L$11,OR($N145=$Q$7,$O145=$Q$7)),"x","")</f>
        <v/>
      </c>
      <c r="R145" s="47" t="str">
        <f>IF(AND($N145=$Q$7,$B145&lt;'111'!$L$11),"x","")</f>
        <v/>
      </c>
      <c r="S145" s="47" t="str">
        <f>IF(AND($O145=$Q$7,$B145&lt;'111'!$L$11),"x","")</f>
        <v/>
      </c>
    </row>
    <row r="146" spans="1:19" ht="15.75" customHeight="1">
      <c r="A146" s="152" t="str">
        <f>IF(B146&lt;&gt;"",IF(AND(B146='IN-TC'!$S$4,OR(TH!N146="1111",TH!O146="1111")),TH!D146,""),"")</f>
        <v/>
      </c>
      <c r="B146" s="34">
        <f t="shared" si="6"/>
        <v>1</v>
      </c>
      <c r="C146" s="35">
        <f t="shared" si="7"/>
        <v>42394</v>
      </c>
      <c r="D146" s="212"/>
      <c r="E146" s="35">
        <v>42394</v>
      </c>
      <c r="F146" s="144" t="s">
        <v>1486</v>
      </c>
      <c r="G146" s="191" t="s">
        <v>204</v>
      </c>
      <c r="H146" s="198" t="s">
        <v>823</v>
      </c>
      <c r="I146" s="186">
        <v>4001</v>
      </c>
      <c r="J146" s="186">
        <v>26000</v>
      </c>
      <c r="K146" s="185"/>
      <c r="L146" s="186"/>
      <c r="M146" s="36">
        <f>ROUND(I146*J146,0)</f>
        <v>104026000</v>
      </c>
      <c r="N146" s="37" t="s">
        <v>1443</v>
      </c>
      <c r="O146" s="37" t="s">
        <v>8</v>
      </c>
      <c r="P146" s="47" t="str">
        <f>IF(AND('331-CT'!$F$5=TH!H146,OR(N146="331",O146="331")),"x","")</f>
        <v/>
      </c>
      <c r="Q146" s="47" t="str">
        <f>IF(AND(B146='111'!$L$11,OR($N146=$Q$7,$O146=$Q$7)),"x","")</f>
        <v/>
      </c>
      <c r="R146" s="47" t="str">
        <f>IF(AND($N146=$Q$7,$B146&lt;'111'!$L$11),"x","")</f>
        <v/>
      </c>
      <c r="S146" s="47" t="str">
        <f>IF(AND($O146=$Q$7,$B146&lt;'111'!$L$11),"x","")</f>
        <v/>
      </c>
    </row>
    <row r="147" spans="1:19" ht="15.75" customHeight="1">
      <c r="A147" s="152" t="str">
        <f>IF(B147&lt;&gt;"",IF(AND(B147='IN-TC'!$S$4,OR(TH!N147="1111",TH!O147="1111")),TH!D147,""),"")</f>
        <v/>
      </c>
      <c r="B147" s="34">
        <f t="shared" si="6"/>
        <v>1</v>
      </c>
      <c r="C147" s="35">
        <f t="shared" si="7"/>
        <v>42394</v>
      </c>
      <c r="D147" s="212"/>
      <c r="E147" s="35">
        <v>42394</v>
      </c>
      <c r="F147" s="144" t="s">
        <v>1514</v>
      </c>
      <c r="G147" s="191" t="s">
        <v>1471</v>
      </c>
      <c r="H147" s="198" t="s">
        <v>848</v>
      </c>
      <c r="I147" s="186">
        <v>2937</v>
      </c>
      <c r="J147" s="186">
        <v>20000</v>
      </c>
      <c r="K147" s="185"/>
      <c r="L147" s="186"/>
      <c r="M147" s="36">
        <f t="shared" ref="M147:M156" si="8">ROUND(I147*J147,-3)</f>
        <v>58740000</v>
      </c>
      <c r="N147" s="37" t="s">
        <v>1443</v>
      </c>
      <c r="O147" s="37" t="s">
        <v>8</v>
      </c>
      <c r="P147" s="47" t="str">
        <f>IF(AND('331-CT'!$F$5=TH!H147,OR(N147="331",O147="331")),"x","")</f>
        <v/>
      </c>
      <c r="Q147" s="47" t="str">
        <f>IF(AND(B147='111'!$L$11,OR($N147=$Q$7,$O147=$Q$7)),"x","")</f>
        <v/>
      </c>
      <c r="R147" s="47" t="str">
        <f>IF(AND($N147=$Q$7,$B147&lt;'111'!$L$11),"x","")</f>
        <v/>
      </c>
      <c r="S147" s="47" t="str">
        <f>IF(AND($O147=$Q$7,$B147&lt;'111'!$L$11),"x","")</f>
        <v/>
      </c>
    </row>
    <row r="148" spans="1:19" ht="15.75" customHeight="1">
      <c r="A148" s="152" t="str">
        <f>IF(B148&lt;&gt;"",IF(AND(B148='IN-TC'!$S$4,OR(TH!N148="1111",TH!O148="1111")),TH!D148,""),"")</f>
        <v/>
      </c>
      <c r="B148" s="34">
        <f t="shared" si="6"/>
        <v>1</v>
      </c>
      <c r="C148" s="35">
        <f t="shared" si="7"/>
        <v>42394</v>
      </c>
      <c r="D148" s="212"/>
      <c r="E148" s="35">
        <v>42394</v>
      </c>
      <c r="F148" s="144" t="s">
        <v>1515</v>
      </c>
      <c r="G148" s="191"/>
      <c r="H148" s="198" t="s">
        <v>848</v>
      </c>
      <c r="I148" s="186">
        <v>652</v>
      </c>
      <c r="J148" s="186">
        <v>150000</v>
      </c>
      <c r="K148" s="185"/>
      <c r="L148" s="186"/>
      <c r="M148" s="36">
        <f t="shared" si="8"/>
        <v>97800000</v>
      </c>
      <c r="N148" s="37" t="s">
        <v>8</v>
      </c>
      <c r="O148" s="37" t="s">
        <v>1443</v>
      </c>
      <c r="P148" s="47" t="str">
        <f>IF(AND('331-CT'!$F$5=TH!H148,OR(N148="331",O148="331")),"x","")</f>
        <v/>
      </c>
      <c r="Q148" s="47" t="str">
        <f>IF(AND(B148='111'!$L$11,OR($N148=$Q$7,$O148=$Q$7)),"x","")</f>
        <v/>
      </c>
      <c r="R148" s="47" t="str">
        <f>IF(AND($N148=$Q$7,$B148&lt;'111'!$L$11),"x","")</f>
        <v/>
      </c>
      <c r="S148" s="47" t="str">
        <f>IF(AND($O148=$Q$7,$B148&lt;'111'!$L$11),"x","")</f>
        <v/>
      </c>
    </row>
    <row r="149" spans="1:19" ht="15.75" customHeight="1">
      <c r="A149" s="152" t="str">
        <f>IF(B149&lt;&gt;"",IF(AND(B149='IN-TC'!$S$4,OR(TH!N149="1111",TH!O149="1111")),TH!D149,""),"")</f>
        <v/>
      </c>
      <c r="B149" s="34">
        <f t="shared" si="6"/>
        <v>1</v>
      </c>
      <c r="C149" s="35">
        <f t="shared" si="7"/>
        <v>42394</v>
      </c>
      <c r="D149" s="212"/>
      <c r="E149" s="35">
        <v>42394</v>
      </c>
      <c r="F149" s="144" t="s">
        <v>1511</v>
      </c>
      <c r="G149" s="191"/>
      <c r="H149" s="198" t="s">
        <v>848</v>
      </c>
      <c r="I149" s="186">
        <v>74</v>
      </c>
      <c r="J149" s="186">
        <v>150000</v>
      </c>
      <c r="K149" s="185"/>
      <c r="L149" s="186"/>
      <c r="M149" s="36">
        <f t="shared" si="8"/>
        <v>11100000</v>
      </c>
      <c r="N149" s="37" t="s">
        <v>8</v>
      </c>
      <c r="O149" s="37" t="s">
        <v>1443</v>
      </c>
      <c r="P149" s="47" t="str">
        <f>IF(AND('331-CT'!$F$5=TH!H149,OR(N149="331",O149="331")),"x","")</f>
        <v/>
      </c>
      <c r="Q149" s="47" t="str">
        <f>IF(AND(B149='111'!$L$11,OR($N149=$Q$7,$O149=$Q$7)),"x","")</f>
        <v/>
      </c>
      <c r="R149" s="47" t="str">
        <f>IF(AND($N149=$Q$7,$B149&lt;'111'!$L$11),"x","")</f>
        <v/>
      </c>
      <c r="S149" s="47" t="str">
        <f>IF(AND($O149=$Q$7,$B149&lt;'111'!$L$11),"x","")</f>
        <v/>
      </c>
    </row>
    <row r="150" spans="1:19" ht="15.75" customHeight="1">
      <c r="A150" s="152" t="str">
        <f>IF(B150&lt;&gt;"",IF(AND(B150='IN-TC'!$S$4,OR(TH!N150="1111",TH!O150="1111")),TH!D150,""),"")</f>
        <v/>
      </c>
      <c r="B150" s="34">
        <f t="shared" si="6"/>
        <v>1</v>
      </c>
      <c r="C150" s="35">
        <f t="shared" si="7"/>
        <v>42394</v>
      </c>
      <c r="D150" s="212"/>
      <c r="E150" s="35">
        <v>42394</v>
      </c>
      <c r="F150" s="144" t="s">
        <v>1513</v>
      </c>
      <c r="G150" s="191"/>
      <c r="H150" s="198" t="s">
        <v>848</v>
      </c>
      <c r="I150" s="186">
        <v>64</v>
      </c>
      <c r="J150" s="186">
        <v>150000</v>
      </c>
      <c r="K150" s="185"/>
      <c r="L150" s="186"/>
      <c r="M150" s="36">
        <f t="shared" si="8"/>
        <v>9600000</v>
      </c>
      <c r="N150" s="37" t="s">
        <v>8</v>
      </c>
      <c r="O150" s="37" t="s">
        <v>1443</v>
      </c>
      <c r="P150" s="47" t="str">
        <f>IF(AND('331-CT'!$F$5=TH!H150,OR(N150="331",O150="331")),"x","")</f>
        <v/>
      </c>
      <c r="Q150" s="47" t="str">
        <f>IF(AND(B150='111'!$L$11,OR($N150=$Q$7,$O150=$Q$7)),"x","")</f>
        <v/>
      </c>
      <c r="R150" s="47" t="str">
        <f>IF(AND($N150=$Q$7,$B150&lt;'111'!$L$11),"x","")</f>
        <v/>
      </c>
      <c r="S150" s="47" t="str">
        <f>IF(AND($O150=$Q$7,$B150&lt;'111'!$L$11),"x","")</f>
        <v/>
      </c>
    </row>
    <row r="151" spans="1:19" ht="15.75" customHeight="1">
      <c r="A151" s="152" t="str">
        <f>IF(B151&lt;&gt;"",IF(AND(B151='IN-TC'!$S$4,OR(TH!N151="1111",TH!O151="1111")),TH!D151,""),"")</f>
        <v/>
      </c>
      <c r="B151" s="34">
        <f t="shared" si="6"/>
        <v>1</v>
      </c>
      <c r="C151" s="35">
        <f t="shared" si="7"/>
        <v>42394</v>
      </c>
      <c r="D151" s="212"/>
      <c r="E151" s="35">
        <v>42394</v>
      </c>
      <c r="F151" s="144" t="s">
        <v>1514</v>
      </c>
      <c r="G151" s="191" t="s">
        <v>1471</v>
      </c>
      <c r="H151" s="198" t="s">
        <v>848</v>
      </c>
      <c r="I151" s="186">
        <v>3630</v>
      </c>
      <c r="J151" s="186">
        <v>20000</v>
      </c>
      <c r="K151" s="185"/>
      <c r="L151" s="186"/>
      <c r="M151" s="36">
        <f t="shared" si="8"/>
        <v>72600000</v>
      </c>
      <c r="N151" s="37" t="s">
        <v>1443</v>
      </c>
      <c r="O151" s="37" t="s">
        <v>8</v>
      </c>
      <c r="P151" s="47" t="str">
        <f>IF(AND('331-CT'!$F$5=TH!H151,OR(N151="331",O151="331")),"x","")</f>
        <v/>
      </c>
      <c r="Q151" s="47" t="str">
        <f>IF(AND(B151='111'!$L$11,OR($N151=$Q$7,$O151=$Q$7)),"x","")</f>
        <v/>
      </c>
      <c r="R151" s="47" t="str">
        <f>IF(AND($N151=$Q$7,$B151&lt;'111'!$L$11),"x","")</f>
        <v/>
      </c>
      <c r="S151" s="47" t="str">
        <f>IF(AND($O151=$Q$7,$B151&lt;'111'!$L$11),"x","")</f>
        <v/>
      </c>
    </row>
    <row r="152" spans="1:19" ht="15.75" customHeight="1">
      <c r="A152" s="152" t="str">
        <f>IF(B152&lt;&gt;"",IF(AND(B152='IN-TC'!$S$4,OR(TH!N152="1111",TH!O152="1111")),TH!D152,""),"")</f>
        <v/>
      </c>
      <c r="B152" s="34">
        <f t="shared" si="6"/>
        <v>1</v>
      </c>
      <c r="C152" s="35">
        <f t="shared" si="7"/>
        <v>42395</v>
      </c>
      <c r="D152" s="212"/>
      <c r="E152" s="35">
        <v>42395</v>
      </c>
      <c r="F152" s="144" t="s">
        <v>1502</v>
      </c>
      <c r="G152" s="191" t="s">
        <v>1454</v>
      </c>
      <c r="H152" s="198" t="s">
        <v>846</v>
      </c>
      <c r="I152" s="186">
        <v>653</v>
      </c>
      <c r="J152" s="186">
        <v>52000</v>
      </c>
      <c r="K152" s="185"/>
      <c r="L152" s="186"/>
      <c r="M152" s="36">
        <f t="shared" si="8"/>
        <v>33956000</v>
      </c>
      <c r="N152" s="37" t="s">
        <v>1443</v>
      </c>
      <c r="O152" s="37" t="s">
        <v>8</v>
      </c>
      <c r="P152" s="47" t="str">
        <f>IF(AND('331-CT'!$F$5=TH!H152,OR(N152="331",O152="331")),"x","")</f>
        <v/>
      </c>
      <c r="Q152" s="47" t="str">
        <f>IF(AND(B152='111'!$L$11,OR($N152=$Q$7,$O152=$Q$7)),"x","")</f>
        <v/>
      </c>
      <c r="R152" s="47" t="str">
        <f>IF(AND($N152=$Q$7,$B152&lt;'111'!$L$11),"x","")</f>
        <v/>
      </c>
      <c r="S152" s="47" t="str">
        <f>IF(AND($O152=$Q$7,$B152&lt;'111'!$L$11),"x","")</f>
        <v/>
      </c>
    </row>
    <row r="153" spans="1:19" ht="15.75" customHeight="1">
      <c r="A153" s="152" t="str">
        <f>IF(B153&lt;&gt;"",IF(AND(B153='IN-TC'!$S$4,OR(TH!N153="1111",TH!O153="1111")),TH!D153,""),"")</f>
        <v/>
      </c>
      <c r="B153" s="34">
        <f t="shared" si="6"/>
        <v>1</v>
      </c>
      <c r="C153" s="35">
        <f t="shared" si="7"/>
        <v>42395</v>
      </c>
      <c r="D153" s="212"/>
      <c r="E153" s="35">
        <v>42395</v>
      </c>
      <c r="F153" s="144" t="s">
        <v>1503</v>
      </c>
      <c r="G153" s="191" t="s">
        <v>1454</v>
      </c>
      <c r="H153" s="198" t="s">
        <v>846</v>
      </c>
      <c r="I153" s="186">
        <f>2*270</f>
        <v>540</v>
      </c>
      <c r="J153" s="186">
        <v>15000</v>
      </c>
      <c r="K153" s="185"/>
      <c r="L153" s="186"/>
      <c r="M153" s="36">
        <f t="shared" si="8"/>
        <v>8100000</v>
      </c>
      <c r="N153" s="37" t="s">
        <v>8</v>
      </c>
      <c r="O153" s="37" t="s">
        <v>1443</v>
      </c>
      <c r="P153" s="47" t="str">
        <f>IF(AND('331-CT'!$F$5=TH!H153,OR(N153="331",O153="331")),"x","")</f>
        <v/>
      </c>
      <c r="Q153" s="47" t="str">
        <f>IF(AND(B153='111'!$L$11,OR($N153=$Q$7,$O153=$Q$7)),"x","")</f>
        <v/>
      </c>
      <c r="R153" s="47" t="str">
        <f>IF(AND($N153=$Q$7,$B153&lt;'111'!$L$11),"x","")</f>
        <v/>
      </c>
      <c r="S153" s="47" t="str">
        <f>IF(AND($O153=$Q$7,$B153&lt;'111'!$L$11),"x","")</f>
        <v/>
      </c>
    </row>
    <row r="154" spans="1:19" ht="15.75" customHeight="1">
      <c r="A154" s="152" t="str">
        <f>IF(B154&lt;&gt;"",IF(AND(B154='IN-TC'!$S$4,OR(TH!N154="1111",TH!O154="1111")),TH!D154,""),"")</f>
        <v/>
      </c>
      <c r="B154" s="34">
        <f t="shared" si="6"/>
        <v>1</v>
      </c>
      <c r="C154" s="35">
        <f t="shared" si="7"/>
        <v>42395</v>
      </c>
      <c r="D154" s="212"/>
      <c r="E154" s="35">
        <v>42395</v>
      </c>
      <c r="F154" s="144" t="s">
        <v>1511</v>
      </c>
      <c r="G154" s="191"/>
      <c r="H154" s="198" t="s">
        <v>848</v>
      </c>
      <c r="I154" s="186">
        <v>485</v>
      </c>
      <c r="J154" s="186">
        <v>150000</v>
      </c>
      <c r="K154" s="185"/>
      <c r="L154" s="186"/>
      <c r="M154" s="36">
        <f t="shared" si="8"/>
        <v>72750000</v>
      </c>
      <c r="N154" s="37" t="s">
        <v>1443</v>
      </c>
      <c r="O154" s="37" t="s">
        <v>8</v>
      </c>
      <c r="P154" s="47" t="str">
        <f>IF(AND('331-CT'!$F$5=TH!H154,OR(N154="331",O154="331")),"x","")</f>
        <v/>
      </c>
      <c r="Q154" s="47" t="str">
        <f>IF(AND(B154='111'!$L$11,OR($N154=$Q$7,$O154=$Q$7)),"x","")</f>
        <v/>
      </c>
      <c r="R154" s="47" t="str">
        <f>IF(AND($N154=$Q$7,$B154&lt;'111'!$L$11),"x","")</f>
        <v/>
      </c>
      <c r="S154" s="47" t="str">
        <f>IF(AND($O154=$Q$7,$B154&lt;'111'!$L$11),"x","")</f>
        <v/>
      </c>
    </row>
    <row r="155" spans="1:19" ht="15.75" customHeight="1">
      <c r="A155" s="152" t="str">
        <f>IF(B155&lt;&gt;"",IF(AND(B155='IN-TC'!$S$4,OR(TH!N155="1111",TH!O155="1111")),TH!D155,""),"")</f>
        <v/>
      </c>
      <c r="B155" s="34">
        <f t="shared" si="6"/>
        <v>1</v>
      </c>
      <c r="C155" s="35">
        <f t="shared" si="7"/>
        <v>42395</v>
      </c>
      <c r="D155" s="212"/>
      <c r="E155" s="35">
        <v>42395</v>
      </c>
      <c r="F155" s="144" t="s">
        <v>1512</v>
      </c>
      <c r="G155" s="191"/>
      <c r="H155" s="198" t="s">
        <v>848</v>
      </c>
      <c r="I155" s="186">
        <v>1680</v>
      </c>
      <c r="J155" s="186">
        <v>150000</v>
      </c>
      <c r="K155" s="185"/>
      <c r="L155" s="186"/>
      <c r="M155" s="36">
        <f t="shared" si="8"/>
        <v>252000000</v>
      </c>
      <c r="N155" s="37" t="s">
        <v>1443</v>
      </c>
      <c r="O155" s="37" t="s">
        <v>8</v>
      </c>
      <c r="P155" s="47" t="str">
        <f>IF(AND('331-CT'!$F$5=TH!H155,OR(N155="331",O155="331")),"x","")</f>
        <v/>
      </c>
      <c r="Q155" s="47" t="str">
        <f>IF(AND(B155='111'!$L$11,OR($N155=$Q$7,$O155=$Q$7)),"x","")</f>
        <v/>
      </c>
      <c r="R155" s="47" t="str">
        <f>IF(AND($N155=$Q$7,$B155&lt;'111'!$L$11),"x","")</f>
        <v/>
      </c>
      <c r="S155" s="47" t="str">
        <f>IF(AND($O155=$Q$7,$B155&lt;'111'!$L$11),"x","")</f>
        <v/>
      </c>
    </row>
    <row r="156" spans="1:19" ht="15.75" customHeight="1">
      <c r="A156" s="152" t="str">
        <f>IF(B156&lt;&gt;"",IF(AND(B156='IN-TC'!$S$4,OR(TH!N156="1111",TH!O156="1111")),TH!D156,""),"")</f>
        <v/>
      </c>
      <c r="B156" s="34">
        <f t="shared" si="6"/>
        <v>1</v>
      </c>
      <c r="C156" s="35">
        <f t="shared" si="7"/>
        <v>42395</v>
      </c>
      <c r="D156" s="212"/>
      <c r="E156" s="35">
        <v>42395</v>
      </c>
      <c r="F156" s="144" t="s">
        <v>1513</v>
      </c>
      <c r="G156" s="191"/>
      <c r="H156" s="198" t="s">
        <v>848</v>
      </c>
      <c r="I156" s="186">
        <v>435</v>
      </c>
      <c r="J156" s="186">
        <v>150000</v>
      </c>
      <c r="K156" s="185"/>
      <c r="L156" s="186"/>
      <c r="M156" s="36">
        <f t="shared" si="8"/>
        <v>65250000</v>
      </c>
      <c r="N156" s="37" t="s">
        <v>1443</v>
      </c>
      <c r="O156" s="37" t="s">
        <v>8</v>
      </c>
      <c r="P156" s="47" t="str">
        <f>IF(AND('331-CT'!$F$5=TH!H156,OR(N156="331",O156="331")),"x","")</f>
        <v/>
      </c>
      <c r="Q156" s="47" t="str">
        <f>IF(AND(B156='111'!$L$11,OR($N156=$Q$7,$O156=$Q$7)),"x","")</f>
        <v/>
      </c>
      <c r="R156" s="47" t="str">
        <f>IF(AND($N156=$Q$7,$B156&lt;'111'!$L$11),"x","")</f>
        <v/>
      </c>
      <c r="S156" s="47" t="str">
        <f>IF(AND($O156=$Q$7,$B156&lt;'111'!$L$11),"x","")</f>
        <v/>
      </c>
    </row>
    <row r="157" spans="1:19" ht="15.75" customHeight="1">
      <c r="A157" s="152" t="str">
        <f>IF(B157&lt;&gt;"",IF(AND(B157='IN-TC'!$S$4,OR(TH!N157="1111",TH!O157="1111")),TH!D157,""),"")</f>
        <v/>
      </c>
      <c r="B157" s="34">
        <f t="shared" si="6"/>
        <v>1</v>
      </c>
      <c r="C157" s="35">
        <f t="shared" si="7"/>
        <v>42396</v>
      </c>
      <c r="D157" s="212" t="s">
        <v>1029</v>
      </c>
      <c r="E157" s="35">
        <v>42396</v>
      </c>
      <c r="F157" s="144" t="s">
        <v>129</v>
      </c>
      <c r="G157" s="191" t="s">
        <v>104</v>
      </c>
      <c r="H157" s="198"/>
      <c r="I157" s="186"/>
      <c r="J157" s="186"/>
      <c r="K157" s="185"/>
      <c r="L157" s="186"/>
      <c r="M157" s="36">
        <v>850000000</v>
      </c>
      <c r="N157" s="37" t="s">
        <v>34</v>
      </c>
      <c r="O157" s="37" t="s">
        <v>1404</v>
      </c>
      <c r="P157" s="47" t="str">
        <f>IF(AND('331-CT'!$F$5=TH!H157,OR(N157="331",O157="331")),"x","")</f>
        <v/>
      </c>
      <c r="Q157" s="47" t="str">
        <f>IF(AND(B157='111'!$L$11,OR($N157=$Q$7,$O157=$Q$7)),"x","")</f>
        <v/>
      </c>
      <c r="R157" s="47" t="str">
        <f>IF(AND($N157=$Q$7,$B157&lt;'111'!$L$11),"x","")</f>
        <v>x</v>
      </c>
      <c r="S157" s="47" t="str">
        <f>IF(AND($O157=$Q$7,$B157&lt;'111'!$L$11),"x","")</f>
        <v/>
      </c>
    </row>
    <row r="158" spans="1:19" ht="15.75" customHeight="1">
      <c r="A158" s="152" t="str">
        <f>IF(B158&lt;&gt;"",IF(AND(B158='IN-TC'!$S$4,OR(TH!N158="1111",TH!O158="1111")),TH!D158,""),"")</f>
        <v/>
      </c>
      <c r="B158" s="34">
        <f t="shared" si="6"/>
        <v>1</v>
      </c>
      <c r="C158" s="35">
        <f t="shared" si="7"/>
        <v>42396</v>
      </c>
      <c r="D158" s="212" t="s">
        <v>972</v>
      </c>
      <c r="E158" s="35">
        <v>42396</v>
      </c>
      <c r="F158" s="144" t="s">
        <v>330</v>
      </c>
      <c r="G158" s="191" t="s">
        <v>214</v>
      </c>
      <c r="H158" s="198"/>
      <c r="I158" s="186"/>
      <c r="J158" s="186"/>
      <c r="K158" s="185"/>
      <c r="L158" s="186"/>
      <c r="M158" s="36">
        <v>100000</v>
      </c>
      <c r="N158" s="37"/>
      <c r="O158" s="37" t="s">
        <v>34</v>
      </c>
      <c r="P158" s="47" t="str">
        <f>IF(AND('331-CT'!$F$5=TH!H158,OR(N158="331",O158="331")),"x","")</f>
        <v/>
      </c>
      <c r="Q158" s="47" t="str">
        <f>IF(AND(B158='111'!$L$11,OR($N158=$Q$7,$O158=$Q$7)),"x","")</f>
        <v/>
      </c>
      <c r="R158" s="47" t="str">
        <f>IF(AND($N158=$Q$7,$B158&lt;'111'!$L$11),"x","")</f>
        <v/>
      </c>
      <c r="S158" s="47" t="str">
        <f>IF(AND($O158=$Q$7,$B158&lt;'111'!$L$11),"x","")</f>
        <v>x</v>
      </c>
    </row>
    <row r="159" spans="1:19" ht="15.75" customHeight="1">
      <c r="A159" s="152" t="str">
        <f>IF(B159&lt;&gt;"",IF(AND(B159='IN-TC'!$S$4,OR(TH!N159="1111",TH!O159="1111")),TH!D159,""),"")</f>
        <v/>
      </c>
      <c r="B159" s="34">
        <f t="shared" si="6"/>
        <v>1</v>
      </c>
      <c r="C159" s="35">
        <f t="shared" si="7"/>
        <v>42396</v>
      </c>
      <c r="D159" s="212" t="s">
        <v>973</v>
      </c>
      <c r="E159" s="35">
        <v>42396</v>
      </c>
      <c r="F159" s="144" t="s">
        <v>1395</v>
      </c>
      <c r="G159" s="191" t="s">
        <v>206</v>
      </c>
      <c r="H159" s="198" t="s">
        <v>847</v>
      </c>
      <c r="I159" s="186"/>
      <c r="J159" s="186"/>
      <c r="K159" s="185"/>
      <c r="L159" s="186"/>
      <c r="M159" s="36">
        <v>100000000</v>
      </c>
      <c r="N159" s="37" t="s">
        <v>8</v>
      </c>
      <c r="O159" s="37" t="s">
        <v>34</v>
      </c>
      <c r="P159" s="47" t="str">
        <f>IF(AND('331-CT'!$F$5=TH!H159,OR(N159="331",O159="331")),"x","")</f>
        <v/>
      </c>
      <c r="Q159" s="47" t="str">
        <f>IF(AND(B159='111'!$L$11,OR($N159=$Q$7,$O159=$Q$7)),"x","")</f>
        <v/>
      </c>
      <c r="R159" s="47" t="str">
        <f>IF(AND($N159=$Q$7,$B159&lt;'111'!$L$11),"x","")</f>
        <v/>
      </c>
      <c r="S159" s="47" t="str">
        <f>IF(AND($O159=$Q$7,$B159&lt;'111'!$L$11),"x","")</f>
        <v>x</v>
      </c>
    </row>
    <row r="160" spans="1:19" ht="15.75" customHeight="1">
      <c r="A160" s="152" t="str">
        <f>IF(B160&lt;&gt;"",IF(AND(B160='IN-TC'!$S$4,OR(TH!N160="1111",TH!O160="1111")),TH!D160,""),"")</f>
        <v/>
      </c>
      <c r="B160" s="34">
        <f t="shared" si="6"/>
        <v>1</v>
      </c>
      <c r="C160" s="35">
        <f t="shared" si="7"/>
        <v>42396</v>
      </c>
      <c r="D160" s="212" t="s">
        <v>974</v>
      </c>
      <c r="E160" s="35">
        <v>42396</v>
      </c>
      <c r="F160" s="144" t="s">
        <v>261</v>
      </c>
      <c r="G160" s="191" t="s">
        <v>206</v>
      </c>
      <c r="H160" s="198" t="s">
        <v>822</v>
      </c>
      <c r="I160" s="186"/>
      <c r="J160" s="186"/>
      <c r="K160" s="185"/>
      <c r="L160" s="186"/>
      <c r="M160" s="36">
        <v>98000000</v>
      </c>
      <c r="N160" s="37" t="s">
        <v>8</v>
      </c>
      <c r="O160" s="37" t="s">
        <v>34</v>
      </c>
      <c r="P160" s="47" t="str">
        <f>IF(AND('331-CT'!$F$5=TH!H160,OR(N160="331",O160="331")),"x","")</f>
        <v/>
      </c>
      <c r="Q160" s="47" t="str">
        <f>IF(AND(B160='111'!$L$11,OR($N160=$Q$7,$O160=$Q$7)),"x","")</f>
        <v/>
      </c>
      <c r="R160" s="47" t="str">
        <f>IF(AND($N160=$Q$7,$B160&lt;'111'!$L$11),"x","")</f>
        <v/>
      </c>
      <c r="S160" s="47" t="str">
        <f>IF(AND($O160=$Q$7,$B160&lt;'111'!$L$11),"x","")</f>
        <v>x</v>
      </c>
    </row>
    <row r="161" spans="1:19" ht="15.75" customHeight="1">
      <c r="A161" s="152" t="str">
        <f>IF(B161&lt;&gt;"",IF(AND(B161='IN-TC'!$S$4,OR(TH!N161="1111",TH!O161="1111")),TH!D161,""),"")</f>
        <v/>
      </c>
      <c r="B161" s="34">
        <f t="shared" si="6"/>
        <v>1</v>
      </c>
      <c r="C161" s="35">
        <f t="shared" si="7"/>
        <v>42396</v>
      </c>
      <c r="D161" s="212" t="s">
        <v>975</v>
      </c>
      <c r="E161" s="35">
        <v>42396</v>
      </c>
      <c r="F161" s="144" t="s">
        <v>331</v>
      </c>
      <c r="G161" s="191" t="s">
        <v>206</v>
      </c>
      <c r="H161" s="198" t="s">
        <v>838</v>
      </c>
      <c r="I161" s="186"/>
      <c r="J161" s="186"/>
      <c r="K161" s="185"/>
      <c r="L161" s="186"/>
      <c r="M161" s="36">
        <v>100000000</v>
      </c>
      <c r="N161" s="37" t="s">
        <v>8</v>
      </c>
      <c r="O161" s="37" t="s">
        <v>34</v>
      </c>
      <c r="P161" s="47" t="str">
        <f>IF(AND('331-CT'!$F$5=TH!H161,OR(N161="331",O161="331")),"x","")</f>
        <v/>
      </c>
      <c r="Q161" s="47" t="str">
        <f>IF(AND(B161='111'!$L$11,OR($N161=$Q$7,$O161=$Q$7)),"x","")</f>
        <v/>
      </c>
      <c r="R161" s="47" t="str">
        <f>IF(AND($N161=$Q$7,$B161&lt;'111'!$L$11),"x","")</f>
        <v/>
      </c>
      <c r="S161" s="47" t="str">
        <f>IF(AND($O161=$Q$7,$B161&lt;'111'!$L$11),"x","")</f>
        <v>x</v>
      </c>
    </row>
    <row r="162" spans="1:19" ht="15.75" customHeight="1">
      <c r="A162" s="152" t="str">
        <f>IF(B162&lt;&gt;"",IF(AND(B162='IN-TC'!$S$4,OR(TH!N162="1111",TH!O162="1111")),TH!D162,""),"")</f>
        <v/>
      </c>
      <c r="B162" s="34">
        <f t="shared" si="6"/>
        <v>1</v>
      </c>
      <c r="C162" s="35">
        <f t="shared" si="7"/>
        <v>42396</v>
      </c>
      <c r="D162" s="212" t="s">
        <v>976</v>
      </c>
      <c r="E162" s="35">
        <v>42396</v>
      </c>
      <c r="F162" s="144" t="s">
        <v>1390</v>
      </c>
      <c r="G162" s="191" t="s">
        <v>206</v>
      </c>
      <c r="H162" s="198" t="s">
        <v>820</v>
      </c>
      <c r="I162" s="186"/>
      <c r="J162" s="186"/>
      <c r="K162" s="185"/>
      <c r="L162" s="186"/>
      <c r="M162" s="36">
        <v>96865000</v>
      </c>
      <c r="N162" s="37" t="s">
        <v>8</v>
      </c>
      <c r="O162" s="37" t="s">
        <v>34</v>
      </c>
      <c r="P162" s="47" t="str">
        <f>IF(AND('331-CT'!$F$5=TH!H162,OR(N162="331",O162="331")),"x","")</f>
        <v/>
      </c>
      <c r="Q162" s="47" t="str">
        <f>IF(AND(B162='111'!$L$11,OR($N162=$Q$7,$O162=$Q$7)),"x","")</f>
        <v/>
      </c>
      <c r="R162" s="47" t="str">
        <f>IF(AND($N162=$Q$7,$B162&lt;'111'!$L$11),"x","")</f>
        <v/>
      </c>
      <c r="S162" s="47" t="str">
        <f>IF(AND($O162=$Q$7,$B162&lt;'111'!$L$11),"x","")</f>
        <v>x</v>
      </c>
    </row>
    <row r="163" spans="1:19" ht="15.75" customHeight="1">
      <c r="A163" s="152" t="str">
        <f>IF(B163&lt;&gt;"",IF(AND(B163='IN-TC'!$S$4,OR(TH!N163="1111",TH!O163="1111")),TH!D163,""),"")</f>
        <v/>
      </c>
      <c r="B163" s="34">
        <f t="shared" si="6"/>
        <v>1</v>
      </c>
      <c r="C163" s="35">
        <f t="shared" si="7"/>
        <v>42396</v>
      </c>
      <c r="D163" s="212" t="s">
        <v>976</v>
      </c>
      <c r="E163" s="35">
        <v>42396</v>
      </c>
      <c r="F163" s="144" t="s">
        <v>1424</v>
      </c>
      <c r="G163" s="191"/>
      <c r="H163" s="198"/>
      <c r="I163" s="186"/>
      <c r="J163" s="186"/>
      <c r="K163" s="185"/>
      <c r="L163" s="186"/>
      <c r="M163" s="36">
        <v>29000</v>
      </c>
      <c r="N163" s="37" t="s">
        <v>1425</v>
      </c>
      <c r="O163" s="37" t="s">
        <v>34</v>
      </c>
      <c r="P163" s="47" t="str">
        <f>IF(AND('331-CT'!$F$5=TH!H163,OR(N163="331",O163="331")),"x","")</f>
        <v/>
      </c>
      <c r="Q163" s="47" t="str">
        <f>IF(AND(B163='111'!$L$11,OR($N163=$Q$7,$O163=$Q$7)),"x","")</f>
        <v/>
      </c>
      <c r="R163" s="47" t="str">
        <f>IF(AND($N163=$Q$7,$B163&lt;'111'!$L$11),"x","")</f>
        <v/>
      </c>
      <c r="S163" s="47" t="str">
        <f>IF(AND($O163=$Q$7,$B163&lt;'111'!$L$11),"x","")</f>
        <v>x</v>
      </c>
    </row>
    <row r="164" spans="1:19" ht="15.75" customHeight="1">
      <c r="A164" s="152" t="str">
        <f>IF(B164&lt;&gt;"",IF(AND(B164='IN-TC'!$S$4,OR(TH!N164="1111",TH!O164="1111")),TH!D164,""),"")</f>
        <v/>
      </c>
      <c r="B164" s="34">
        <f t="shared" si="6"/>
        <v>1</v>
      </c>
      <c r="C164" s="35">
        <f t="shared" si="7"/>
        <v>42396</v>
      </c>
      <c r="D164" s="212" t="s">
        <v>977</v>
      </c>
      <c r="E164" s="35">
        <v>42396</v>
      </c>
      <c r="F164" s="144" t="s">
        <v>332</v>
      </c>
      <c r="G164" s="191" t="s">
        <v>206</v>
      </c>
      <c r="H164" s="198" t="s">
        <v>829</v>
      </c>
      <c r="I164" s="186"/>
      <c r="J164" s="186"/>
      <c r="K164" s="185"/>
      <c r="L164" s="186"/>
      <c r="M164" s="36">
        <v>200000000</v>
      </c>
      <c r="N164" s="37" t="s">
        <v>8</v>
      </c>
      <c r="O164" s="37" t="s">
        <v>34</v>
      </c>
      <c r="P164" s="47" t="str">
        <f>IF(AND('331-CT'!$F$5=TH!H164,OR(N164="331",O164="331")),"x","")</f>
        <v/>
      </c>
      <c r="Q164" s="47" t="str">
        <f>IF(AND(B164='111'!$L$11,OR($N164=$Q$7,$O164=$Q$7)),"x","")</f>
        <v/>
      </c>
      <c r="R164" s="47" t="str">
        <f>IF(AND($N164=$Q$7,$B164&lt;'111'!$L$11),"x","")</f>
        <v/>
      </c>
      <c r="S164" s="47" t="str">
        <f>IF(AND($O164=$Q$7,$B164&lt;'111'!$L$11),"x","")</f>
        <v>x</v>
      </c>
    </row>
    <row r="165" spans="1:19" ht="15.75" customHeight="1">
      <c r="A165" s="152" t="str">
        <f>IF(B165&lt;&gt;"",IF(AND(B165='IN-TC'!$S$4,OR(TH!N165="1111",TH!O165="1111")),TH!D165,""),"")</f>
        <v/>
      </c>
      <c r="B165" s="34">
        <f t="shared" si="6"/>
        <v>1</v>
      </c>
      <c r="C165" s="35">
        <f t="shared" si="7"/>
        <v>42396</v>
      </c>
      <c r="D165" s="212" t="s">
        <v>977</v>
      </c>
      <c r="E165" s="35">
        <v>42396</v>
      </c>
      <c r="F165" s="144" t="s">
        <v>1424</v>
      </c>
      <c r="G165" s="191"/>
      <c r="H165" s="198"/>
      <c r="I165" s="186"/>
      <c r="J165" s="186"/>
      <c r="K165" s="185"/>
      <c r="L165" s="186"/>
      <c r="M165" s="36">
        <v>60000</v>
      </c>
      <c r="N165" s="37" t="s">
        <v>1425</v>
      </c>
      <c r="O165" s="37" t="s">
        <v>34</v>
      </c>
      <c r="P165" s="47" t="str">
        <f>IF(AND('331-CT'!$F$5=TH!H165,OR(N165="331",O165="331")),"x","")</f>
        <v/>
      </c>
      <c r="Q165" s="47" t="str">
        <f>IF(AND(B165='111'!$L$11,OR($N165=$Q$7,$O165=$Q$7)),"x","")</f>
        <v/>
      </c>
      <c r="R165" s="47" t="str">
        <f>IF(AND($N165=$Q$7,$B165&lt;'111'!$L$11),"x","")</f>
        <v/>
      </c>
      <c r="S165" s="47" t="str">
        <f>IF(AND($O165=$Q$7,$B165&lt;'111'!$L$11),"x","")</f>
        <v>x</v>
      </c>
    </row>
    <row r="166" spans="1:19" ht="15.75" customHeight="1">
      <c r="A166" s="152" t="str">
        <f>IF(B166&lt;&gt;"",IF(AND(B166='IN-TC'!$S$4,OR(TH!N166="1111",TH!O166="1111")),TH!D166,""),"")</f>
        <v/>
      </c>
      <c r="B166" s="34">
        <f t="shared" si="6"/>
        <v>1</v>
      </c>
      <c r="C166" s="35">
        <f t="shared" si="7"/>
        <v>42396</v>
      </c>
      <c r="D166" s="212" t="s">
        <v>978</v>
      </c>
      <c r="E166" s="35">
        <v>42396</v>
      </c>
      <c r="F166" s="144" t="s">
        <v>333</v>
      </c>
      <c r="G166" s="191" t="s">
        <v>206</v>
      </c>
      <c r="H166" s="198" t="s">
        <v>821</v>
      </c>
      <c r="I166" s="186"/>
      <c r="J166" s="186"/>
      <c r="K166" s="185"/>
      <c r="L166" s="186"/>
      <c r="M166" s="36">
        <v>92340000</v>
      </c>
      <c r="N166" s="37" t="s">
        <v>8</v>
      </c>
      <c r="O166" s="37" t="s">
        <v>34</v>
      </c>
      <c r="P166" s="47" t="str">
        <f>IF(AND('331-CT'!$F$5=TH!H166,OR(N166="331",O166="331")),"x","")</f>
        <v/>
      </c>
      <c r="Q166" s="47" t="str">
        <f>IF(AND(B166='111'!$L$11,OR($N166=$Q$7,$O166=$Q$7)),"x","")</f>
        <v/>
      </c>
      <c r="R166" s="47" t="str">
        <f>IF(AND($N166=$Q$7,$B166&lt;'111'!$L$11),"x","")</f>
        <v/>
      </c>
      <c r="S166" s="47" t="str">
        <f>IF(AND($O166=$Q$7,$B166&lt;'111'!$L$11),"x","")</f>
        <v>x</v>
      </c>
    </row>
    <row r="167" spans="1:19" ht="15.75" customHeight="1">
      <c r="A167" s="152" t="str">
        <f>IF(B167&lt;&gt;"",IF(AND(B167='IN-TC'!$S$4,OR(TH!N167="1111",TH!O167="1111")),TH!D167,""),"")</f>
        <v/>
      </c>
      <c r="B167" s="34">
        <f t="shared" si="6"/>
        <v>1</v>
      </c>
      <c r="C167" s="35">
        <f t="shared" si="7"/>
        <v>42396</v>
      </c>
      <c r="D167" s="212" t="s">
        <v>979</v>
      </c>
      <c r="E167" s="35">
        <v>42396</v>
      </c>
      <c r="F167" s="144" t="s">
        <v>334</v>
      </c>
      <c r="G167" s="191" t="s">
        <v>220</v>
      </c>
      <c r="H167" s="198"/>
      <c r="I167" s="186"/>
      <c r="J167" s="186"/>
      <c r="K167" s="185"/>
      <c r="L167" s="186"/>
      <c r="M167" s="36">
        <v>68835000</v>
      </c>
      <c r="N167" s="37"/>
      <c r="O167" s="37" t="s">
        <v>34</v>
      </c>
      <c r="P167" s="47" t="str">
        <f>IF(AND('331-CT'!$F$5=TH!H167,OR(N167="331",O167="331")),"x","")</f>
        <v/>
      </c>
      <c r="Q167" s="47" t="str">
        <f>IF(AND(B167='111'!$L$11,OR($N167=$Q$7,$O167=$Q$7)),"x","")</f>
        <v/>
      </c>
      <c r="R167" s="47" t="str">
        <f>IF(AND($N167=$Q$7,$B167&lt;'111'!$L$11),"x","")</f>
        <v/>
      </c>
      <c r="S167" s="47" t="str">
        <f>IF(AND($O167=$Q$7,$B167&lt;'111'!$L$11),"x","")</f>
        <v>x</v>
      </c>
    </row>
    <row r="168" spans="1:19" ht="15.75" customHeight="1">
      <c r="A168" s="152" t="str">
        <f>IF(B168&lt;&gt;"",IF(AND(B168='IN-TC'!$S$4,OR(TH!N168="1111",TH!O168="1111")),TH!D168,""),"")</f>
        <v/>
      </c>
      <c r="B168" s="34">
        <f t="shared" si="6"/>
        <v>1</v>
      </c>
      <c r="C168" s="35">
        <f t="shared" si="7"/>
        <v>42396</v>
      </c>
      <c r="D168" s="212" t="s">
        <v>980</v>
      </c>
      <c r="E168" s="35">
        <v>42396</v>
      </c>
      <c r="F168" s="144" t="s">
        <v>335</v>
      </c>
      <c r="G168" s="191" t="s">
        <v>204</v>
      </c>
      <c r="H168" s="198"/>
      <c r="I168" s="186"/>
      <c r="J168" s="186"/>
      <c r="K168" s="185"/>
      <c r="L168" s="186"/>
      <c r="M168" s="36">
        <v>50000000</v>
      </c>
      <c r="N168" s="37"/>
      <c r="O168" s="37" t="s">
        <v>34</v>
      </c>
      <c r="P168" s="47" t="str">
        <f>IF(AND('331-CT'!$F$5=TH!H168,OR(N168="331",O168="331")),"x","")</f>
        <v/>
      </c>
      <c r="Q168" s="47" t="str">
        <f>IF(AND(B168='111'!$L$11,OR($N168=$Q$7,$O168=$Q$7)),"x","")</f>
        <v/>
      </c>
      <c r="R168" s="47" t="str">
        <f>IF(AND($N168=$Q$7,$B168&lt;'111'!$L$11),"x","")</f>
        <v/>
      </c>
      <c r="S168" s="47" t="str">
        <f>IF(AND($O168=$Q$7,$B168&lt;'111'!$L$11),"x","")</f>
        <v>x</v>
      </c>
    </row>
    <row r="169" spans="1:19" ht="15.75" customHeight="1">
      <c r="A169" s="152" t="str">
        <f>IF(B169&lt;&gt;"",IF(AND(B169='IN-TC'!$S$4,OR(TH!N169="1111",TH!O169="1111")),TH!D169,""),"")</f>
        <v/>
      </c>
      <c r="B169" s="34">
        <f t="shared" si="6"/>
        <v>1</v>
      </c>
      <c r="C169" s="35">
        <f t="shared" si="7"/>
        <v>42396</v>
      </c>
      <c r="D169" s="212" t="s">
        <v>981</v>
      </c>
      <c r="E169" s="35">
        <v>42396</v>
      </c>
      <c r="F169" s="144" t="s">
        <v>336</v>
      </c>
      <c r="G169" s="191" t="s">
        <v>208</v>
      </c>
      <c r="H169" s="198"/>
      <c r="I169" s="186"/>
      <c r="J169" s="186"/>
      <c r="K169" s="185"/>
      <c r="L169" s="186"/>
      <c r="M169" s="36">
        <v>5294000</v>
      </c>
      <c r="N169" s="37"/>
      <c r="O169" s="37" t="s">
        <v>34</v>
      </c>
      <c r="P169" s="47" t="str">
        <f>IF(AND('331-CT'!$F$5=TH!H169,OR(N169="331",O169="331")),"x","")</f>
        <v/>
      </c>
      <c r="Q169" s="47" t="str">
        <f>IF(AND(B169='111'!$L$11,OR($N169=$Q$7,$O169=$Q$7)),"x","")</f>
        <v/>
      </c>
      <c r="R169" s="47" t="str">
        <f>IF(AND($N169=$Q$7,$B169&lt;'111'!$L$11),"x","")</f>
        <v/>
      </c>
      <c r="S169" s="47" t="str">
        <f>IF(AND($O169=$Q$7,$B169&lt;'111'!$L$11),"x","")</f>
        <v>x</v>
      </c>
    </row>
    <row r="170" spans="1:19" ht="15.75" customHeight="1">
      <c r="A170" s="152" t="str">
        <f>IF(B170&lt;&gt;"",IF(AND(B170='IN-TC'!$S$4,OR(TH!N170="1111",TH!O170="1111")),TH!D170,""),"")</f>
        <v/>
      </c>
      <c r="B170" s="34">
        <f t="shared" si="6"/>
        <v>1</v>
      </c>
      <c r="C170" s="35">
        <f t="shared" si="7"/>
        <v>42396</v>
      </c>
      <c r="D170" s="212" t="s">
        <v>982</v>
      </c>
      <c r="E170" s="35">
        <v>42396</v>
      </c>
      <c r="F170" s="144" t="s">
        <v>337</v>
      </c>
      <c r="G170" s="191" t="s">
        <v>202</v>
      </c>
      <c r="H170" s="198"/>
      <c r="I170" s="186"/>
      <c r="J170" s="186"/>
      <c r="K170" s="185"/>
      <c r="L170" s="186"/>
      <c r="M170" s="36">
        <v>75000</v>
      </c>
      <c r="N170" s="37"/>
      <c r="O170" s="37" t="s">
        <v>34</v>
      </c>
      <c r="P170" s="47" t="str">
        <f>IF(AND('331-CT'!$F$5=TH!H170,OR(N170="331",O170="331")),"x","")</f>
        <v/>
      </c>
      <c r="Q170" s="47" t="str">
        <f>IF(AND(B170='111'!$L$11,OR($N170=$Q$7,$O170=$Q$7)),"x","")</f>
        <v/>
      </c>
      <c r="R170" s="47" t="str">
        <f>IF(AND($N170=$Q$7,$B170&lt;'111'!$L$11),"x","")</f>
        <v/>
      </c>
      <c r="S170" s="47" t="str">
        <f>IF(AND($O170=$Q$7,$B170&lt;'111'!$L$11),"x","")</f>
        <v>x</v>
      </c>
    </row>
    <row r="171" spans="1:19" ht="15.75" customHeight="1">
      <c r="A171" s="152" t="str">
        <f>IF(B171&lt;&gt;"",IF(AND(B171='IN-TC'!$S$4,OR(TH!N171="1111",TH!O171="1111")),TH!D171,""),"")</f>
        <v/>
      </c>
      <c r="B171" s="34">
        <f t="shared" si="6"/>
        <v>1</v>
      </c>
      <c r="C171" s="35">
        <f t="shared" si="7"/>
        <v>42397</v>
      </c>
      <c r="D171" s="212" t="s">
        <v>1030</v>
      </c>
      <c r="E171" s="35">
        <v>42397</v>
      </c>
      <c r="F171" s="144" t="s">
        <v>130</v>
      </c>
      <c r="G171" s="191" t="s">
        <v>105</v>
      </c>
      <c r="H171" s="198" t="s">
        <v>1434</v>
      </c>
      <c r="I171" s="186"/>
      <c r="J171" s="186"/>
      <c r="K171" s="185"/>
      <c r="L171" s="186"/>
      <c r="M171" s="36">
        <v>45000000</v>
      </c>
      <c r="N171" s="37" t="s">
        <v>34</v>
      </c>
      <c r="O171" s="37" t="s">
        <v>812</v>
      </c>
      <c r="P171" s="47" t="str">
        <f>IF(AND('331-CT'!$F$5=TH!H171,OR(N171="331",O171="331")),"x","")</f>
        <v/>
      </c>
      <c r="Q171" s="47" t="str">
        <f>IF(AND(B171='111'!$L$11,OR($N171=$Q$7,$O171=$Q$7)),"x","")</f>
        <v/>
      </c>
      <c r="R171" s="47" t="str">
        <f>IF(AND($N171=$Q$7,$B171&lt;'111'!$L$11),"x","")</f>
        <v>x</v>
      </c>
      <c r="S171" s="47" t="str">
        <f>IF(AND($O171=$Q$7,$B171&lt;'111'!$L$11),"x","")</f>
        <v/>
      </c>
    </row>
    <row r="172" spans="1:19" ht="15.75" customHeight="1">
      <c r="A172" s="152" t="str">
        <f>IF(B172&lt;&gt;"",IF(AND(B172='IN-TC'!$S$4,OR(TH!N172="1111",TH!O172="1111")),TH!D172,""),"")</f>
        <v/>
      </c>
      <c r="B172" s="34">
        <f t="shared" si="6"/>
        <v>1</v>
      </c>
      <c r="C172" s="35">
        <f t="shared" si="7"/>
        <v>42397</v>
      </c>
      <c r="D172" s="212" t="s">
        <v>983</v>
      </c>
      <c r="E172" s="35">
        <v>42397</v>
      </c>
      <c r="F172" s="144" t="s">
        <v>338</v>
      </c>
      <c r="G172" s="191" t="s">
        <v>202</v>
      </c>
      <c r="H172" s="198"/>
      <c r="I172" s="186"/>
      <c r="J172" s="186"/>
      <c r="K172" s="185"/>
      <c r="L172" s="186"/>
      <c r="M172" s="36">
        <v>16735000</v>
      </c>
      <c r="N172" s="37"/>
      <c r="O172" s="37" t="s">
        <v>34</v>
      </c>
      <c r="P172" s="47" t="str">
        <f>IF(AND('331-CT'!$F$5=TH!H172,OR(N172="331",O172="331")),"x","")</f>
        <v/>
      </c>
      <c r="Q172" s="47" t="str">
        <f>IF(AND(B172='111'!$L$11,OR($N172=$Q$7,$O172=$Q$7)),"x","")</f>
        <v/>
      </c>
      <c r="R172" s="47" t="str">
        <f>IF(AND($N172=$Q$7,$B172&lt;'111'!$L$11),"x","")</f>
        <v/>
      </c>
      <c r="S172" s="47" t="str">
        <f>IF(AND($O172=$Q$7,$B172&lt;'111'!$L$11),"x","")</f>
        <v>x</v>
      </c>
    </row>
    <row r="173" spans="1:19" ht="15.75" customHeight="1">
      <c r="A173" s="152" t="str">
        <f>IF(B173&lt;&gt;"",IF(AND(B173='IN-TC'!$S$4,OR(TH!N173="1111",TH!O173="1111")),TH!D173,""),"")</f>
        <v/>
      </c>
      <c r="B173" s="34">
        <f t="shared" si="6"/>
        <v>1</v>
      </c>
      <c r="C173" s="35">
        <f t="shared" si="7"/>
        <v>42397</v>
      </c>
      <c r="D173" s="212" t="s">
        <v>984</v>
      </c>
      <c r="E173" s="35">
        <v>42397</v>
      </c>
      <c r="F173" s="144" t="s">
        <v>339</v>
      </c>
      <c r="G173" s="191" t="s">
        <v>219</v>
      </c>
      <c r="H173" s="198"/>
      <c r="I173" s="186"/>
      <c r="J173" s="186"/>
      <c r="K173" s="185"/>
      <c r="L173" s="186"/>
      <c r="M173" s="36">
        <v>3700000</v>
      </c>
      <c r="N173" s="37"/>
      <c r="O173" s="37" t="s">
        <v>34</v>
      </c>
      <c r="P173" s="47" t="str">
        <f>IF(AND('331-CT'!$F$5=TH!H173,OR(N173="331",O173="331")),"x","")</f>
        <v/>
      </c>
      <c r="Q173" s="47" t="str">
        <f>IF(AND(B173='111'!$L$11,OR($N173=$Q$7,$O173=$Q$7)),"x","")</f>
        <v/>
      </c>
      <c r="R173" s="47" t="str">
        <f>IF(AND($N173=$Q$7,$B173&lt;'111'!$L$11),"x","")</f>
        <v/>
      </c>
      <c r="S173" s="47" t="str">
        <f>IF(AND($O173=$Q$7,$B173&lt;'111'!$L$11),"x","")</f>
        <v>x</v>
      </c>
    </row>
    <row r="174" spans="1:19" ht="15.75" customHeight="1">
      <c r="A174" s="152" t="str">
        <f>IF(B174&lt;&gt;"",IF(AND(B174='IN-TC'!$S$4,OR(TH!N174="1111",TH!O174="1111")),TH!D174,""),"")</f>
        <v/>
      </c>
      <c r="B174" s="34">
        <f t="shared" si="6"/>
        <v>1</v>
      </c>
      <c r="C174" s="35">
        <f t="shared" si="7"/>
        <v>42397</v>
      </c>
      <c r="D174" s="212" t="s">
        <v>985</v>
      </c>
      <c r="E174" s="35">
        <v>42397</v>
      </c>
      <c r="F174" s="144" t="s">
        <v>340</v>
      </c>
      <c r="G174" s="191" t="s">
        <v>221</v>
      </c>
      <c r="H174" s="198"/>
      <c r="I174" s="186"/>
      <c r="J174" s="186"/>
      <c r="K174" s="185"/>
      <c r="L174" s="186"/>
      <c r="M174" s="36">
        <v>240000</v>
      </c>
      <c r="N174" s="37"/>
      <c r="O174" s="37" t="s">
        <v>34</v>
      </c>
      <c r="P174" s="47" t="str">
        <f>IF(AND('331-CT'!$F$5=TH!H174,OR(N174="331",O174="331")),"x","")</f>
        <v/>
      </c>
      <c r="Q174" s="47" t="str">
        <f>IF(AND(B174='111'!$L$11,OR($N174=$Q$7,$O174=$Q$7)),"x","")</f>
        <v/>
      </c>
      <c r="R174" s="47" t="str">
        <f>IF(AND($N174=$Q$7,$B174&lt;'111'!$L$11),"x","")</f>
        <v/>
      </c>
      <c r="S174" s="47" t="str">
        <f>IF(AND($O174=$Q$7,$B174&lt;'111'!$L$11),"x","")</f>
        <v>x</v>
      </c>
    </row>
    <row r="175" spans="1:19" ht="15.75" customHeight="1">
      <c r="A175" s="152" t="str">
        <f>IF(B175&lt;&gt;"",IF(AND(B175='IN-TC'!$S$4,OR(TH!N175="1111",TH!O175="1111")),TH!D175,""),"")</f>
        <v/>
      </c>
      <c r="B175" s="34">
        <f t="shared" si="6"/>
        <v>1</v>
      </c>
      <c r="C175" s="35">
        <f t="shared" si="7"/>
        <v>42397</v>
      </c>
      <c r="D175" s="212" t="s">
        <v>986</v>
      </c>
      <c r="E175" s="35">
        <v>42397</v>
      </c>
      <c r="F175" s="144" t="s">
        <v>341</v>
      </c>
      <c r="G175" s="191" t="s">
        <v>104</v>
      </c>
      <c r="H175" s="198"/>
      <c r="I175" s="186"/>
      <c r="J175" s="186"/>
      <c r="K175" s="185"/>
      <c r="L175" s="186"/>
      <c r="M175" s="36">
        <v>45000000</v>
      </c>
      <c r="N175" s="37"/>
      <c r="O175" s="37" t="s">
        <v>34</v>
      </c>
      <c r="P175" s="47" t="str">
        <f>IF(AND('331-CT'!$F$5=TH!H175,OR(N175="331",O175="331")),"x","")</f>
        <v/>
      </c>
      <c r="Q175" s="47" t="str">
        <f>IF(AND(B175='111'!$L$11,OR($N175=$Q$7,$O175=$Q$7)),"x","")</f>
        <v/>
      </c>
      <c r="R175" s="47" t="str">
        <f>IF(AND($N175=$Q$7,$B175&lt;'111'!$L$11),"x","")</f>
        <v/>
      </c>
      <c r="S175" s="47" t="str">
        <f>IF(AND($O175=$Q$7,$B175&lt;'111'!$L$11),"x","")</f>
        <v>x</v>
      </c>
    </row>
    <row r="176" spans="1:19" ht="15.75" customHeight="1">
      <c r="A176" s="152" t="str">
        <f>IF(B176&lt;&gt;"",IF(AND(B176='IN-TC'!$S$4,OR(TH!N176="1111",TH!O176="1111")),TH!D176,""),"")</f>
        <v/>
      </c>
      <c r="B176" s="34">
        <f t="shared" si="6"/>
        <v>1</v>
      </c>
      <c r="C176" s="35">
        <f t="shared" si="7"/>
        <v>42397</v>
      </c>
      <c r="D176" s="212" t="s">
        <v>987</v>
      </c>
      <c r="E176" s="35">
        <v>42397</v>
      </c>
      <c r="F176" s="144" t="s">
        <v>342</v>
      </c>
      <c r="G176" s="191" t="s">
        <v>207</v>
      </c>
      <c r="H176" s="198"/>
      <c r="I176" s="186"/>
      <c r="J176" s="186"/>
      <c r="K176" s="185"/>
      <c r="L176" s="186"/>
      <c r="M176" s="36">
        <v>5410000</v>
      </c>
      <c r="N176" s="37"/>
      <c r="O176" s="37" t="s">
        <v>34</v>
      </c>
      <c r="P176" s="47" t="str">
        <f>IF(AND('331-CT'!$F$5=TH!H176,OR(N176="331",O176="331")),"x","")</f>
        <v/>
      </c>
      <c r="Q176" s="47" t="str">
        <f>IF(AND(B176='111'!$L$11,OR($N176=$Q$7,$O176=$Q$7)),"x","")</f>
        <v/>
      </c>
      <c r="R176" s="47" t="str">
        <f>IF(AND($N176=$Q$7,$B176&lt;'111'!$L$11),"x","")</f>
        <v/>
      </c>
      <c r="S176" s="47" t="str">
        <f>IF(AND($O176=$Q$7,$B176&lt;'111'!$L$11),"x","")</f>
        <v>x</v>
      </c>
    </row>
    <row r="177" spans="1:19" ht="15.75" customHeight="1">
      <c r="A177" s="152" t="str">
        <f>IF(B177&lt;&gt;"",IF(AND(B177='IN-TC'!$S$4,OR(TH!N177="1111",TH!O177="1111")),TH!D177,""),"")</f>
        <v/>
      </c>
      <c r="B177" s="34">
        <f t="shared" si="6"/>
        <v>1</v>
      </c>
      <c r="C177" s="35">
        <f t="shared" si="7"/>
        <v>42397</v>
      </c>
      <c r="D177" s="212" t="s">
        <v>988</v>
      </c>
      <c r="E177" s="35">
        <v>42397</v>
      </c>
      <c r="F177" s="144" t="s">
        <v>343</v>
      </c>
      <c r="G177" s="191" t="s">
        <v>205</v>
      </c>
      <c r="H177" s="198"/>
      <c r="I177" s="186"/>
      <c r="J177" s="186"/>
      <c r="K177" s="185"/>
      <c r="L177" s="186"/>
      <c r="M177" s="36">
        <v>570000</v>
      </c>
      <c r="N177" s="37"/>
      <c r="O177" s="37" t="s">
        <v>34</v>
      </c>
      <c r="P177" s="47" t="str">
        <f>IF(AND('331-CT'!$F$5=TH!H177,OR(N177="331",O177="331")),"x","")</f>
        <v/>
      </c>
      <c r="Q177" s="47" t="str">
        <f>IF(AND(B177='111'!$L$11,OR($N177=$Q$7,$O177=$Q$7)),"x","")</f>
        <v/>
      </c>
      <c r="R177" s="47" t="str">
        <f>IF(AND($N177=$Q$7,$B177&lt;'111'!$L$11),"x","")</f>
        <v/>
      </c>
      <c r="S177" s="47" t="str">
        <f>IF(AND($O177=$Q$7,$B177&lt;'111'!$L$11),"x","")</f>
        <v>x</v>
      </c>
    </row>
    <row r="178" spans="1:19" ht="15.75" customHeight="1">
      <c r="A178" s="152" t="str">
        <f>IF(B178&lt;&gt;"",IF(AND(B178='IN-TC'!$S$4,OR(TH!N178="1111",TH!O178="1111")),TH!D178,""),"")</f>
        <v/>
      </c>
      <c r="B178" s="34">
        <f t="shared" si="6"/>
        <v>1</v>
      </c>
      <c r="C178" s="35">
        <f t="shared" si="7"/>
        <v>42398</v>
      </c>
      <c r="D178" s="212" t="s">
        <v>1031</v>
      </c>
      <c r="E178" s="35">
        <v>42398</v>
      </c>
      <c r="F178" s="144" t="s">
        <v>131</v>
      </c>
      <c r="G178" s="191" t="s">
        <v>104</v>
      </c>
      <c r="H178" s="198"/>
      <c r="I178" s="186"/>
      <c r="J178" s="186"/>
      <c r="K178" s="185"/>
      <c r="L178" s="186"/>
      <c r="M178" s="36">
        <v>1170000000</v>
      </c>
      <c r="N178" s="37" t="s">
        <v>34</v>
      </c>
      <c r="O178" s="37" t="s">
        <v>1404</v>
      </c>
      <c r="P178" s="47" t="str">
        <f>IF(AND('331-CT'!$F$5=TH!H178,OR(N178="331",O178="331")),"x","")</f>
        <v/>
      </c>
      <c r="Q178" s="47" t="str">
        <f>IF(AND(B178='111'!$L$11,OR($N178=$Q$7,$O178=$Q$7)),"x","")</f>
        <v/>
      </c>
      <c r="R178" s="47" t="str">
        <f>IF(AND($N178=$Q$7,$B178&lt;'111'!$L$11),"x","")</f>
        <v>x</v>
      </c>
      <c r="S178" s="47" t="str">
        <f>IF(AND($O178=$Q$7,$B178&lt;'111'!$L$11),"x","")</f>
        <v/>
      </c>
    </row>
    <row r="179" spans="1:19" ht="15.75" customHeight="1">
      <c r="A179" s="152" t="str">
        <f>IF(B179&lt;&gt;"",IF(AND(B179='IN-TC'!$S$4,OR(TH!N179="1111",TH!O179="1111")),TH!D179,""),"")</f>
        <v/>
      </c>
      <c r="B179" s="34">
        <f t="shared" si="6"/>
        <v>1</v>
      </c>
      <c r="C179" s="35">
        <f t="shared" si="7"/>
        <v>42398</v>
      </c>
      <c r="D179" s="212" t="s">
        <v>1032</v>
      </c>
      <c r="E179" s="35">
        <v>42398</v>
      </c>
      <c r="F179" s="144" t="s">
        <v>129</v>
      </c>
      <c r="G179" s="191" t="s">
        <v>104</v>
      </c>
      <c r="H179" s="198"/>
      <c r="I179" s="186"/>
      <c r="J179" s="186"/>
      <c r="K179" s="185"/>
      <c r="L179" s="186"/>
      <c r="M179" s="36">
        <v>370000000</v>
      </c>
      <c r="N179" s="37" t="s">
        <v>34</v>
      </c>
      <c r="O179" s="37" t="s">
        <v>1404</v>
      </c>
      <c r="P179" s="47" t="str">
        <f>IF(AND('331-CT'!$F$5=TH!H179,OR(N179="331",O179="331")),"x","")</f>
        <v/>
      </c>
      <c r="Q179" s="47" t="str">
        <f>IF(AND(B179='111'!$L$11,OR($N179=$Q$7,$O179=$Q$7)),"x","")</f>
        <v/>
      </c>
      <c r="R179" s="47" t="str">
        <f>IF(AND($N179=$Q$7,$B179&lt;'111'!$L$11),"x","")</f>
        <v>x</v>
      </c>
      <c r="S179" s="47" t="str">
        <f>IF(AND($O179=$Q$7,$B179&lt;'111'!$L$11),"x","")</f>
        <v/>
      </c>
    </row>
    <row r="180" spans="1:19" ht="15.75" customHeight="1">
      <c r="A180" s="152" t="str">
        <f>IF(B180&lt;&gt;"",IF(AND(B180='IN-TC'!$S$4,OR(TH!N180="1111",TH!O180="1111")),TH!D180,""),"")</f>
        <v/>
      </c>
      <c r="B180" s="34">
        <f t="shared" si="6"/>
        <v>1</v>
      </c>
      <c r="C180" s="35">
        <f t="shared" si="7"/>
        <v>42398</v>
      </c>
      <c r="D180" s="212" t="s">
        <v>989</v>
      </c>
      <c r="E180" s="35">
        <v>42398</v>
      </c>
      <c r="F180" s="144" t="s">
        <v>326</v>
      </c>
      <c r="G180" s="191" t="s">
        <v>104</v>
      </c>
      <c r="H180" s="198"/>
      <c r="I180" s="186"/>
      <c r="J180" s="186"/>
      <c r="K180" s="185"/>
      <c r="L180" s="186"/>
      <c r="M180" s="36">
        <v>370000000</v>
      </c>
      <c r="N180" s="37"/>
      <c r="O180" s="37" t="s">
        <v>34</v>
      </c>
      <c r="P180" s="47" t="str">
        <f>IF(AND('331-CT'!$F$5=TH!H180,OR(N180="331",O180="331")),"x","")</f>
        <v/>
      </c>
      <c r="Q180" s="47" t="str">
        <f>IF(AND(B180='111'!$L$11,OR($N180=$Q$7,$O180=$Q$7)),"x","")</f>
        <v/>
      </c>
      <c r="R180" s="47" t="str">
        <f>IF(AND($N180=$Q$7,$B180&lt;'111'!$L$11),"x","")</f>
        <v/>
      </c>
      <c r="S180" s="47" t="str">
        <f>IF(AND($O180=$Q$7,$B180&lt;'111'!$L$11),"x","")</f>
        <v>x</v>
      </c>
    </row>
    <row r="181" spans="1:19" ht="15.75" customHeight="1">
      <c r="A181" s="152" t="str">
        <f>IF(B181&lt;&gt;"",IF(AND(B181='IN-TC'!$S$4,OR(TH!N181="1111",TH!O181="1111")),TH!D181,""),"")</f>
        <v/>
      </c>
      <c r="B181" s="34">
        <f t="shared" si="6"/>
        <v>1</v>
      </c>
      <c r="C181" s="35">
        <f t="shared" si="7"/>
        <v>42398</v>
      </c>
      <c r="D181" s="212" t="s">
        <v>990</v>
      </c>
      <c r="E181" s="35">
        <v>42398</v>
      </c>
      <c r="F181" s="144" t="s">
        <v>327</v>
      </c>
      <c r="G181" s="191" t="s">
        <v>104</v>
      </c>
      <c r="H181" s="198"/>
      <c r="I181" s="186"/>
      <c r="J181" s="186"/>
      <c r="K181" s="185"/>
      <c r="L181" s="186"/>
      <c r="M181" s="36">
        <v>2000000</v>
      </c>
      <c r="N181" s="37"/>
      <c r="O181" s="37" t="s">
        <v>34</v>
      </c>
      <c r="P181" s="47" t="str">
        <f>IF(AND('331-CT'!$F$5=TH!H181,OR(N181="331",O181="331")),"x","")</f>
        <v/>
      </c>
      <c r="Q181" s="47" t="str">
        <f>IF(AND(B181='111'!$L$11,OR($N181=$Q$7,$O181=$Q$7)),"x","")</f>
        <v/>
      </c>
      <c r="R181" s="47" t="str">
        <f>IF(AND($N181=$Q$7,$B181&lt;'111'!$L$11),"x","")</f>
        <v/>
      </c>
      <c r="S181" s="47" t="str">
        <f>IF(AND($O181=$Q$7,$B181&lt;'111'!$L$11),"x","")</f>
        <v>x</v>
      </c>
    </row>
    <row r="182" spans="1:19" ht="15.75" customHeight="1">
      <c r="A182" s="152" t="str">
        <f>IF(B182&lt;&gt;"",IF(AND(B182='IN-TC'!$S$4,OR(TH!N182="1111",TH!O182="1111")),TH!D182,""),"")</f>
        <v/>
      </c>
      <c r="B182" s="34">
        <f t="shared" si="6"/>
        <v>1</v>
      </c>
      <c r="C182" s="35">
        <f t="shared" si="7"/>
        <v>42398</v>
      </c>
      <c r="D182" s="212" t="s">
        <v>991</v>
      </c>
      <c r="E182" s="35">
        <v>42398</v>
      </c>
      <c r="F182" s="144" t="s">
        <v>344</v>
      </c>
      <c r="G182" s="191" t="s">
        <v>207</v>
      </c>
      <c r="H182" s="198"/>
      <c r="I182" s="186"/>
      <c r="J182" s="186"/>
      <c r="K182" s="185"/>
      <c r="L182" s="186"/>
      <c r="M182" s="36">
        <v>1000000</v>
      </c>
      <c r="N182" s="37"/>
      <c r="O182" s="37" t="s">
        <v>34</v>
      </c>
      <c r="P182" s="47" t="str">
        <f>IF(AND('331-CT'!$F$5=TH!H182,OR(N182="331",O182="331")),"x","")</f>
        <v/>
      </c>
      <c r="Q182" s="47" t="str">
        <f>IF(AND(B182='111'!$L$11,OR($N182=$Q$7,$O182=$Q$7)),"x","")</f>
        <v/>
      </c>
      <c r="R182" s="47" t="str">
        <f>IF(AND($N182=$Q$7,$B182&lt;'111'!$L$11),"x","")</f>
        <v/>
      </c>
      <c r="S182" s="47" t="str">
        <f>IF(AND($O182=$Q$7,$B182&lt;'111'!$L$11),"x","")</f>
        <v>x</v>
      </c>
    </row>
    <row r="183" spans="1:19" ht="15.75" customHeight="1">
      <c r="A183" s="152" t="str">
        <f>IF(B183&lt;&gt;"",IF(AND(B183='IN-TC'!$S$4,OR(TH!N183="1111",TH!O183="1111")),TH!D183,""),"")</f>
        <v/>
      </c>
      <c r="B183" s="34">
        <f t="shared" si="6"/>
        <v>1</v>
      </c>
      <c r="C183" s="35">
        <f t="shared" si="7"/>
        <v>42398</v>
      </c>
      <c r="D183" s="212" t="s">
        <v>992</v>
      </c>
      <c r="E183" s="35">
        <v>42398</v>
      </c>
      <c r="F183" s="144" t="s">
        <v>306</v>
      </c>
      <c r="G183" s="191" t="s">
        <v>207</v>
      </c>
      <c r="H183" s="198"/>
      <c r="I183" s="186"/>
      <c r="J183" s="186"/>
      <c r="K183" s="185"/>
      <c r="L183" s="186"/>
      <c r="M183" s="36">
        <v>1000000</v>
      </c>
      <c r="N183" s="37"/>
      <c r="O183" s="37" t="s">
        <v>34</v>
      </c>
      <c r="P183" s="47" t="str">
        <f>IF(AND('331-CT'!$F$5=TH!H183,OR(N183="331",O183="331")),"x","")</f>
        <v/>
      </c>
      <c r="Q183" s="47" t="str">
        <f>IF(AND(B183='111'!$L$11,OR($N183=$Q$7,$O183=$Q$7)),"x","")</f>
        <v/>
      </c>
      <c r="R183" s="47" t="str">
        <f>IF(AND($N183=$Q$7,$B183&lt;'111'!$L$11),"x","")</f>
        <v/>
      </c>
      <c r="S183" s="47" t="str">
        <f>IF(AND($O183=$Q$7,$B183&lt;'111'!$L$11),"x","")</f>
        <v>x</v>
      </c>
    </row>
    <row r="184" spans="1:19" ht="15.75" customHeight="1">
      <c r="A184" s="152" t="str">
        <f>IF(B184&lt;&gt;"",IF(AND(B184='IN-TC'!$S$4,OR(TH!N184="1111",TH!O184="1111")),TH!D184,""),"")</f>
        <v/>
      </c>
      <c r="B184" s="34">
        <f t="shared" si="6"/>
        <v>1</v>
      </c>
      <c r="C184" s="35">
        <f t="shared" si="7"/>
        <v>42398</v>
      </c>
      <c r="D184" s="212" t="s">
        <v>993</v>
      </c>
      <c r="E184" s="35">
        <v>42398</v>
      </c>
      <c r="F184" s="144" t="s">
        <v>312</v>
      </c>
      <c r="G184" s="191" t="s">
        <v>217</v>
      </c>
      <c r="H184" s="198"/>
      <c r="I184" s="186"/>
      <c r="J184" s="186"/>
      <c r="K184" s="185"/>
      <c r="L184" s="186"/>
      <c r="M184" s="36">
        <v>3000000</v>
      </c>
      <c r="N184" s="37"/>
      <c r="O184" s="37" t="s">
        <v>34</v>
      </c>
      <c r="P184" s="47" t="str">
        <f>IF(AND('331-CT'!$F$5=TH!H184,OR(N184="331",O184="331")),"x","")</f>
        <v/>
      </c>
      <c r="Q184" s="47" t="str">
        <f>IF(AND(B184='111'!$L$11,OR($N184=$Q$7,$O184=$Q$7)),"x","")</f>
        <v/>
      </c>
      <c r="R184" s="47" t="str">
        <f>IF(AND($N184=$Q$7,$B184&lt;'111'!$L$11),"x","")</f>
        <v/>
      </c>
      <c r="S184" s="47" t="str">
        <f>IF(AND($O184=$Q$7,$B184&lt;'111'!$L$11),"x","")</f>
        <v>x</v>
      </c>
    </row>
    <row r="185" spans="1:19" ht="15.75" customHeight="1">
      <c r="A185" s="152" t="str">
        <f>IF(B185&lt;&gt;"",IF(AND(B185='IN-TC'!$S$4,OR(TH!N185="1111",TH!O185="1111")),TH!D185,""),"")</f>
        <v/>
      </c>
      <c r="B185" s="34">
        <f t="shared" si="6"/>
        <v>1</v>
      </c>
      <c r="C185" s="35">
        <f t="shared" si="7"/>
        <v>42398</v>
      </c>
      <c r="D185" s="212" t="s">
        <v>994</v>
      </c>
      <c r="E185" s="35">
        <v>42398</v>
      </c>
      <c r="F185" s="144" t="s">
        <v>345</v>
      </c>
      <c r="G185" s="191" t="s">
        <v>109</v>
      </c>
      <c r="H185" s="198"/>
      <c r="I185" s="186"/>
      <c r="J185" s="186"/>
      <c r="K185" s="185"/>
      <c r="L185" s="186"/>
      <c r="M185" s="36">
        <v>9600000</v>
      </c>
      <c r="N185" s="37"/>
      <c r="O185" s="37" t="s">
        <v>34</v>
      </c>
      <c r="P185" s="47" t="str">
        <f>IF(AND('331-CT'!$F$5=TH!H185,OR(N185="331",O185="331")),"x","")</f>
        <v/>
      </c>
      <c r="Q185" s="47" t="str">
        <f>IF(AND(B185='111'!$L$11,OR($N185=$Q$7,$O185=$Q$7)),"x","")</f>
        <v/>
      </c>
      <c r="R185" s="47" t="str">
        <f>IF(AND($N185=$Q$7,$B185&lt;'111'!$L$11),"x","")</f>
        <v/>
      </c>
      <c r="S185" s="47" t="str">
        <f>IF(AND($O185=$Q$7,$B185&lt;'111'!$L$11),"x","")</f>
        <v>x</v>
      </c>
    </row>
    <row r="186" spans="1:19" ht="15.75" customHeight="1">
      <c r="A186" s="152" t="str">
        <f>IF(B186&lt;&gt;"",IF(AND(B186='IN-TC'!$S$4,OR(TH!N186="1111",TH!O186="1111")),TH!D186,""),"")</f>
        <v/>
      </c>
      <c r="B186" s="34">
        <f t="shared" si="6"/>
        <v>1</v>
      </c>
      <c r="C186" s="35">
        <f t="shared" si="7"/>
        <v>42398</v>
      </c>
      <c r="D186" s="212" t="s">
        <v>995</v>
      </c>
      <c r="E186" s="35">
        <v>42398</v>
      </c>
      <c r="F186" s="144" t="s">
        <v>346</v>
      </c>
      <c r="G186" s="191" t="s">
        <v>105</v>
      </c>
      <c r="H186" s="198" t="s">
        <v>1434</v>
      </c>
      <c r="I186" s="186"/>
      <c r="J186" s="186"/>
      <c r="K186" s="185"/>
      <c r="L186" s="186"/>
      <c r="M186" s="36">
        <v>45000000</v>
      </c>
      <c r="N186" s="37" t="s">
        <v>812</v>
      </c>
      <c r="O186" s="37" t="s">
        <v>34</v>
      </c>
      <c r="P186" s="47" t="str">
        <f>IF(AND('331-CT'!$F$5=TH!H186,OR(N186="331",O186="331")),"x","")</f>
        <v/>
      </c>
      <c r="Q186" s="47" t="str">
        <f>IF(AND(B186='111'!$L$11,OR($N186=$Q$7,$O186=$Q$7)),"x","")</f>
        <v/>
      </c>
      <c r="R186" s="47" t="str">
        <f>IF(AND($N186=$Q$7,$B186&lt;'111'!$L$11),"x","")</f>
        <v/>
      </c>
      <c r="S186" s="47" t="str">
        <f>IF(AND($O186=$Q$7,$B186&lt;'111'!$L$11),"x","")</f>
        <v>x</v>
      </c>
    </row>
    <row r="187" spans="1:19" ht="15.75" customHeight="1">
      <c r="A187" s="152" t="str">
        <f>IF(B187&lt;&gt;"",IF(AND(B187='IN-TC'!$S$4,OR(TH!N187="1111",TH!O187="1111")),TH!D187,""),"")</f>
        <v/>
      </c>
      <c r="B187" s="34">
        <f t="shared" si="6"/>
        <v>1</v>
      </c>
      <c r="C187" s="35">
        <f t="shared" si="7"/>
        <v>42398</v>
      </c>
      <c r="D187" s="212"/>
      <c r="E187" s="35">
        <v>42398</v>
      </c>
      <c r="F187" s="144" t="s">
        <v>1529</v>
      </c>
      <c r="G187" s="191"/>
      <c r="H187" s="198" t="s">
        <v>829</v>
      </c>
      <c r="I187" s="186">
        <v>1350</v>
      </c>
      <c r="J187" s="186">
        <v>170000</v>
      </c>
      <c r="K187" s="185"/>
      <c r="L187" s="186"/>
      <c r="M187" s="36">
        <f>ROUND(I187*J187,-3)</f>
        <v>229500000</v>
      </c>
      <c r="N187" s="37" t="s">
        <v>1443</v>
      </c>
      <c r="O187" s="37" t="s">
        <v>8</v>
      </c>
      <c r="P187" s="47" t="str">
        <f>IF(AND('331-CT'!$F$5=TH!H187,OR(N187="331",O187="331")),"x","")</f>
        <v/>
      </c>
      <c r="Q187" s="47" t="str">
        <f>IF(AND(B187='111'!$L$11,OR($N187=$Q$7,$O187=$Q$7)),"x","")</f>
        <v/>
      </c>
      <c r="R187" s="47" t="str">
        <f>IF(AND($N187=$Q$7,$B187&lt;'111'!$L$11),"x","")</f>
        <v/>
      </c>
      <c r="S187" s="47" t="str">
        <f>IF(AND($O187=$Q$7,$B187&lt;'111'!$L$11),"x","")</f>
        <v/>
      </c>
    </row>
    <row r="188" spans="1:19" ht="15.75" customHeight="1">
      <c r="A188" s="152" t="str">
        <f>IF(B188&lt;&gt;"",IF(AND(B188='IN-TC'!$S$4,OR(TH!N188="1111",TH!O188="1111")),TH!D188,""),"")</f>
        <v/>
      </c>
      <c r="B188" s="34">
        <f t="shared" si="6"/>
        <v>1</v>
      </c>
      <c r="C188" s="35">
        <f t="shared" si="7"/>
        <v>42398</v>
      </c>
      <c r="D188" s="212"/>
      <c r="E188" s="35">
        <v>42398</v>
      </c>
      <c r="F188" s="144" t="s">
        <v>1530</v>
      </c>
      <c r="G188" s="191"/>
      <c r="H188" s="198" t="s">
        <v>829</v>
      </c>
      <c r="I188" s="186">
        <v>1038</v>
      </c>
      <c r="J188" s="186">
        <v>163000</v>
      </c>
      <c r="K188" s="185"/>
      <c r="L188" s="186"/>
      <c r="M188" s="36">
        <f>ROUND(I188*J188,-3)</f>
        <v>169194000</v>
      </c>
      <c r="N188" s="37" t="s">
        <v>1443</v>
      </c>
      <c r="O188" s="37" t="s">
        <v>8</v>
      </c>
      <c r="P188" s="47" t="str">
        <f>IF(AND('331-CT'!$F$5=TH!H188,OR(N188="331",O188="331")),"x","")</f>
        <v/>
      </c>
      <c r="Q188" s="47" t="str">
        <f>IF(AND(B188='111'!$L$11,OR($N188=$Q$7,$O188=$Q$7)),"x","")</f>
        <v/>
      </c>
      <c r="R188" s="47" t="str">
        <f>IF(AND($N188=$Q$7,$B188&lt;'111'!$L$11),"x","")</f>
        <v/>
      </c>
      <c r="S188" s="47" t="str">
        <f>IF(AND($O188=$Q$7,$B188&lt;'111'!$L$11),"x","")</f>
        <v/>
      </c>
    </row>
    <row r="189" spans="1:19" ht="15.75" customHeight="1">
      <c r="A189" s="152" t="str">
        <f>IF(B189&lt;&gt;"",IF(AND(B189='IN-TC'!$S$4,OR(TH!N189="1111",TH!O189="1111")),TH!D189,""),"")</f>
        <v/>
      </c>
      <c r="B189" s="34">
        <f t="shared" si="6"/>
        <v>1</v>
      </c>
      <c r="C189" s="35">
        <f t="shared" si="7"/>
        <v>42398</v>
      </c>
      <c r="D189" s="212"/>
      <c r="E189" s="35">
        <v>42398</v>
      </c>
      <c r="F189" s="144" t="s">
        <v>1531</v>
      </c>
      <c r="G189" s="191"/>
      <c r="H189" s="198" t="s">
        <v>829</v>
      </c>
      <c r="I189" s="186">
        <v>120</v>
      </c>
      <c r="J189" s="186">
        <v>170000</v>
      </c>
      <c r="K189" s="185"/>
      <c r="L189" s="186"/>
      <c r="M189" s="36">
        <f>ROUND(I189*J189,-3)</f>
        <v>20400000</v>
      </c>
      <c r="N189" s="37" t="s">
        <v>1443</v>
      </c>
      <c r="O189" s="37" t="s">
        <v>8</v>
      </c>
      <c r="P189" s="47" t="str">
        <f>IF(AND('331-CT'!$F$5=TH!H189,OR(N189="331",O189="331")),"x","")</f>
        <v/>
      </c>
      <c r="Q189" s="47" t="str">
        <f>IF(AND(B189='111'!$L$11,OR($N189=$Q$7,$O189=$Q$7)),"x","")</f>
        <v/>
      </c>
      <c r="R189" s="47" t="str">
        <f>IF(AND($N189=$Q$7,$B189&lt;'111'!$L$11),"x","")</f>
        <v/>
      </c>
      <c r="S189" s="47" t="str">
        <f>IF(AND($O189=$Q$7,$B189&lt;'111'!$L$11),"x","")</f>
        <v/>
      </c>
    </row>
    <row r="190" spans="1:19" ht="15.75" customHeight="1">
      <c r="A190" s="152" t="str">
        <f>IF(B190&lt;&gt;"",IF(AND(B190='IN-TC'!$S$4,OR(TH!N190="1111",TH!O190="1111")),TH!D190,""),"")</f>
        <v/>
      </c>
      <c r="B190" s="34">
        <f t="shared" si="6"/>
        <v>1</v>
      </c>
      <c r="C190" s="35">
        <f t="shared" si="7"/>
        <v>42399</v>
      </c>
      <c r="D190" s="212" t="s">
        <v>996</v>
      </c>
      <c r="E190" s="35">
        <v>42399</v>
      </c>
      <c r="F190" s="144" t="s">
        <v>347</v>
      </c>
      <c r="G190" s="191" t="s">
        <v>206</v>
      </c>
      <c r="H190" s="198" t="s">
        <v>825</v>
      </c>
      <c r="I190" s="186"/>
      <c r="J190" s="186"/>
      <c r="K190" s="185"/>
      <c r="L190" s="186"/>
      <c r="M190" s="36">
        <v>200000000</v>
      </c>
      <c r="N190" s="37" t="s">
        <v>8</v>
      </c>
      <c r="O190" s="37" t="s">
        <v>34</v>
      </c>
      <c r="P190" s="47" t="str">
        <f>IF(AND('331-CT'!$F$5=TH!H190,OR(N190="331",O190="331")),"x","")</f>
        <v/>
      </c>
      <c r="Q190" s="47" t="str">
        <f>IF(AND(B190='111'!$L$11,OR($N190=$Q$7,$O190=$Q$7)),"x","")</f>
        <v/>
      </c>
      <c r="R190" s="47" t="str">
        <f>IF(AND($N190=$Q$7,$B190&lt;'111'!$L$11),"x","")</f>
        <v/>
      </c>
      <c r="S190" s="47" t="str">
        <f>IF(AND($O190=$Q$7,$B190&lt;'111'!$L$11),"x","")</f>
        <v>x</v>
      </c>
    </row>
    <row r="191" spans="1:19" ht="15.75" customHeight="1">
      <c r="A191" s="152" t="str">
        <f>IF(B191&lt;&gt;"",IF(AND(B191='IN-TC'!$S$4,OR(TH!N191="1111",TH!O191="1111")),TH!D191,""),"")</f>
        <v/>
      </c>
      <c r="B191" s="34">
        <f t="shared" si="6"/>
        <v>1</v>
      </c>
      <c r="C191" s="35">
        <f t="shared" si="7"/>
        <v>42399</v>
      </c>
      <c r="D191" s="212" t="s">
        <v>997</v>
      </c>
      <c r="E191" s="35">
        <v>42399</v>
      </c>
      <c r="F191" s="144" t="s">
        <v>348</v>
      </c>
      <c r="G191" s="191" t="s">
        <v>206</v>
      </c>
      <c r="H191" s="198" t="s">
        <v>834</v>
      </c>
      <c r="I191" s="186"/>
      <c r="J191" s="186"/>
      <c r="K191" s="185"/>
      <c r="L191" s="186"/>
      <c r="M191" s="36">
        <v>200000000</v>
      </c>
      <c r="N191" s="37" t="s">
        <v>8</v>
      </c>
      <c r="O191" s="37" t="s">
        <v>34</v>
      </c>
      <c r="P191" s="47" t="str">
        <f>IF(AND('331-CT'!$F$5=TH!H191,OR(N191="331",O191="331")),"x","")</f>
        <v/>
      </c>
      <c r="Q191" s="47" t="str">
        <f>IF(AND(B191='111'!$L$11,OR($N191=$Q$7,$O191=$Q$7)),"x","")</f>
        <v/>
      </c>
      <c r="R191" s="47" t="str">
        <f>IF(AND($N191=$Q$7,$B191&lt;'111'!$L$11),"x","")</f>
        <v/>
      </c>
      <c r="S191" s="47" t="str">
        <f>IF(AND($O191=$Q$7,$B191&lt;'111'!$L$11),"x","")</f>
        <v>x</v>
      </c>
    </row>
    <row r="192" spans="1:19" ht="15.75" customHeight="1">
      <c r="A192" s="152" t="str">
        <f>IF(B192&lt;&gt;"",IF(AND(B192='IN-TC'!$S$4,OR(TH!N192="1111",TH!O192="1111")),TH!D192,""),"")</f>
        <v/>
      </c>
      <c r="B192" s="34">
        <f t="shared" si="6"/>
        <v>1</v>
      </c>
      <c r="C192" s="35">
        <f t="shared" si="7"/>
        <v>42399</v>
      </c>
      <c r="D192" s="212" t="s">
        <v>998</v>
      </c>
      <c r="E192" s="35">
        <v>42399</v>
      </c>
      <c r="F192" s="144" t="s">
        <v>315</v>
      </c>
      <c r="G192" s="191" t="s">
        <v>206</v>
      </c>
      <c r="H192" s="198" t="s">
        <v>823</v>
      </c>
      <c r="I192" s="186"/>
      <c r="J192" s="186"/>
      <c r="K192" s="185"/>
      <c r="L192" s="186"/>
      <c r="M192" s="36">
        <v>189976000</v>
      </c>
      <c r="N192" s="37" t="s">
        <v>8</v>
      </c>
      <c r="O192" s="37" t="s">
        <v>34</v>
      </c>
      <c r="P192" s="47" t="str">
        <f>IF(AND('331-CT'!$F$5=TH!H192,OR(N192="331",O192="331")),"x","")</f>
        <v/>
      </c>
      <c r="Q192" s="47" t="str">
        <f>IF(AND(B192='111'!$L$11,OR($N192=$Q$7,$O192=$Q$7)),"x","")</f>
        <v/>
      </c>
      <c r="R192" s="47" t="str">
        <f>IF(AND($N192=$Q$7,$B192&lt;'111'!$L$11),"x","")</f>
        <v/>
      </c>
      <c r="S192" s="47" t="str">
        <f>IF(AND($O192=$Q$7,$B192&lt;'111'!$L$11),"x","")</f>
        <v>x</v>
      </c>
    </row>
    <row r="193" spans="1:19" ht="15.75" customHeight="1">
      <c r="A193" s="152" t="str">
        <f>IF(B193&lt;&gt;"",IF(AND(B193='IN-TC'!$S$4,OR(TH!N193="1111",TH!O193="1111")),TH!D193,""),"")</f>
        <v/>
      </c>
      <c r="B193" s="34">
        <f t="shared" si="6"/>
        <v>1</v>
      </c>
      <c r="C193" s="35">
        <f t="shared" si="7"/>
        <v>42399</v>
      </c>
      <c r="D193" s="212" t="s">
        <v>999</v>
      </c>
      <c r="E193" s="35">
        <v>42399</v>
      </c>
      <c r="F193" s="144" t="s">
        <v>299</v>
      </c>
      <c r="G193" s="191" t="s">
        <v>206</v>
      </c>
      <c r="H193" s="198" t="s">
        <v>846</v>
      </c>
      <c r="I193" s="186"/>
      <c r="J193" s="186"/>
      <c r="K193" s="185"/>
      <c r="L193" s="186"/>
      <c r="M193" s="36">
        <v>150000000</v>
      </c>
      <c r="N193" s="37" t="s">
        <v>8</v>
      </c>
      <c r="O193" s="37" t="s">
        <v>34</v>
      </c>
      <c r="P193" s="47" t="str">
        <f>IF(AND('331-CT'!$F$5=TH!H193,OR(N193="331",O193="331")),"x","")</f>
        <v/>
      </c>
      <c r="Q193" s="47" t="str">
        <f>IF(AND(B193='111'!$L$11,OR($N193=$Q$7,$O193=$Q$7)),"x","")</f>
        <v/>
      </c>
      <c r="R193" s="47" t="str">
        <f>IF(AND($N193=$Q$7,$B193&lt;'111'!$L$11),"x","")</f>
        <v/>
      </c>
      <c r="S193" s="47" t="str">
        <f>IF(AND($O193=$Q$7,$B193&lt;'111'!$L$11),"x","")</f>
        <v>x</v>
      </c>
    </row>
    <row r="194" spans="1:19" ht="15.75" customHeight="1">
      <c r="A194" s="152" t="str">
        <f>IF(B194&lt;&gt;"",IF(AND(B194='IN-TC'!$S$4,OR(TH!N194="1111",TH!O194="1111")),TH!D194,""),"")</f>
        <v/>
      </c>
      <c r="B194" s="34">
        <f t="shared" si="6"/>
        <v>1</v>
      </c>
      <c r="C194" s="35">
        <f t="shared" si="7"/>
        <v>42399</v>
      </c>
      <c r="D194" s="212" t="s">
        <v>1000</v>
      </c>
      <c r="E194" s="35">
        <v>42399</v>
      </c>
      <c r="F194" s="144" t="s">
        <v>349</v>
      </c>
      <c r="G194" s="191" t="s">
        <v>105</v>
      </c>
      <c r="H194" s="198" t="s">
        <v>1073</v>
      </c>
      <c r="I194" s="186"/>
      <c r="J194" s="186"/>
      <c r="K194" s="185"/>
      <c r="L194" s="186"/>
      <c r="M194" s="36">
        <v>50000000</v>
      </c>
      <c r="N194" s="37" t="s">
        <v>812</v>
      </c>
      <c r="O194" s="37" t="s">
        <v>34</v>
      </c>
      <c r="P194" s="47" t="str">
        <f>IF(AND('331-CT'!$F$5=TH!H194,OR(N194="331",O194="331")),"x","")</f>
        <v/>
      </c>
      <c r="Q194" s="47" t="str">
        <f>IF(AND(B194='111'!$L$11,OR($N194=$Q$7,$O194=$Q$7)),"x","")</f>
        <v/>
      </c>
      <c r="R194" s="47" t="str">
        <f>IF(AND($N194=$Q$7,$B194&lt;'111'!$L$11),"x","")</f>
        <v/>
      </c>
      <c r="S194" s="47" t="str">
        <f>IF(AND($O194=$Q$7,$B194&lt;'111'!$L$11),"x","")</f>
        <v>x</v>
      </c>
    </row>
    <row r="195" spans="1:19" ht="15.75" customHeight="1">
      <c r="A195" s="152" t="str">
        <f>IF(B195&lt;&gt;"",IF(AND(B195='IN-TC'!$S$4,OR(TH!N195="1111",TH!O195="1111")),TH!D195,""),"")</f>
        <v/>
      </c>
      <c r="B195" s="34">
        <f t="shared" si="6"/>
        <v>1</v>
      </c>
      <c r="C195" s="35">
        <f t="shared" si="7"/>
        <v>42399</v>
      </c>
      <c r="D195" s="212" t="s">
        <v>1001</v>
      </c>
      <c r="E195" s="35">
        <v>42399</v>
      </c>
      <c r="F195" s="144" t="s">
        <v>350</v>
      </c>
      <c r="G195" s="191" t="s">
        <v>203</v>
      </c>
      <c r="H195" s="198" t="s">
        <v>1438</v>
      </c>
      <c r="I195" s="186"/>
      <c r="J195" s="186"/>
      <c r="K195" s="185"/>
      <c r="L195" s="186"/>
      <c r="M195" s="36">
        <v>6000000</v>
      </c>
      <c r="N195" s="37" t="s">
        <v>814</v>
      </c>
      <c r="O195" s="37" t="s">
        <v>34</v>
      </c>
      <c r="P195" s="47" t="str">
        <f>IF(AND('331-CT'!$F$5=TH!H195,OR(N195="331",O195="331")),"x","")</f>
        <v/>
      </c>
      <c r="Q195" s="47" t="str">
        <f>IF(AND(B195='111'!$L$11,OR($N195=$Q$7,$O195=$Q$7)),"x","")</f>
        <v/>
      </c>
      <c r="R195" s="47" t="str">
        <f>IF(AND($N195=$Q$7,$B195&lt;'111'!$L$11),"x","")</f>
        <v/>
      </c>
      <c r="S195" s="47" t="str">
        <f>IF(AND($O195=$Q$7,$B195&lt;'111'!$L$11),"x","")</f>
        <v>x</v>
      </c>
    </row>
    <row r="196" spans="1:19" ht="15.75" customHeight="1">
      <c r="A196" s="152" t="str">
        <f>IF(B196&lt;&gt;"",IF(AND(B196='IN-TC'!$S$4,OR(TH!N196="1111",TH!O196="1111")),TH!D196,""),"")</f>
        <v/>
      </c>
      <c r="B196" s="34">
        <f t="shared" si="6"/>
        <v>1</v>
      </c>
      <c r="C196" s="35">
        <f t="shared" si="7"/>
        <v>42399</v>
      </c>
      <c r="D196" s="212" t="s">
        <v>1002</v>
      </c>
      <c r="E196" s="35">
        <v>42399</v>
      </c>
      <c r="F196" s="144" t="s">
        <v>351</v>
      </c>
      <c r="G196" s="191" t="s">
        <v>110</v>
      </c>
      <c r="H196" s="198"/>
      <c r="I196" s="186"/>
      <c r="J196" s="186"/>
      <c r="K196" s="185"/>
      <c r="L196" s="186"/>
      <c r="M196" s="36">
        <v>500000</v>
      </c>
      <c r="N196" s="37"/>
      <c r="O196" s="37" t="s">
        <v>34</v>
      </c>
      <c r="P196" s="47" t="str">
        <f>IF(AND('331-CT'!$F$5=TH!H196,OR(N196="331",O196="331")),"x","")</f>
        <v/>
      </c>
      <c r="Q196" s="47" t="str">
        <f>IF(AND(B196='111'!$L$11,OR($N196=$Q$7,$O196=$Q$7)),"x","")</f>
        <v/>
      </c>
      <c r="R196" s="47" t="str">
        <f>IF(AND($N196=$Q$7,$B196&lt;'111'!$L$11),"x","")</f>
        <v/>
      </c>
      <c r="S196" s="47" t="str">
        <f>IF(AND($O196=$Q$7,$B196&lt;'111'!$L$11),"x","")</f>
        <v>x</v>
      </c>
    </row>
    <row r="197" spans="1:19" ht="15.75" customHeight="1">
      <c r="A197" s="152" t="str">
        <f>IF(B197&lt;&gt;"",IF(AND(B197='IN-TC'!$S$4,OR(TH!N197="1111",TH!O197="1111")),TH!D197,""),"")</f>
        <v/>
      </c>
      <c r="B197" s="34">
        <f t="shared" si="6"/>
        <v>1</v>
      </c>
      <c r="C197" s="35">
        <f t="shared" si="7"/>
        <v>42399</v>
      </c>
      <c r="D197" s="212" t="s">
        <v>1003</v>
      </c>
      <c r="E197" s="35">
        <v>42399</v>
      </c>
      <c r="F197" s="144" t="s">
        <v>352</v>
      </c>
      <c r="G197" s="191" t="s">
        <v>221</v>
      </c>
      <c r="H197" s="198"/>
      <c r="I197" s="186"/>
      <c r="J197" s="186"/>
      <c r="K197" s="185"/>
      <c r="L197" s="186"/>
      <c r="M197" s="36">
        <v>800000</v>
      </c>
      <c r="N197" s="37"/>
      <c r="O197" s="37" t="s">
        <v>34</v>
      </c>
      <c r="P197" s="47" t="str">
        <f>IF(AND('331-CT'!$F$5=TH!H197,OR(N197="331",O197="331")),"x","")</f>
        <v/>
      </c>
      <c r="Q197" s="47" t="str">
        <f>IF(AND(B197='111'!$L$11,OR($N197=$Q$7,$O197=$Q$7)),"x","")</f>
        <v/>
      </c>
      <c r="R197" s="47" t="str">
        <f>IF(AND($N197=$Q$7,$B197&lt;'111'!$L$11),"x","")</f>
        <v/>
      </c>
      <c r="S197" s="47" t="str">
        <f>IF(AND($O197=$Q$7,$B197&lt;'111'!$L$11),"x","")</f>
        <v>x</v>
      </c>
    </row>
    <row r="198" spans="1:19" ht="15.75" customHeight="1">
      <c r="A198" s="152" t="str">
        <f>IF(B198&lt;&gt;"",IF(AND(B198='IN-TC'!$S$4,OR(TH!N198="1111",TH!O198="1111")),TH!D198,""),"")</f>
        <v/>
      </c>
      <c r="B198" s="34">
        <f t="shared" si="6"/>
        <v>1</v>
      </c>
      <c r="C198" s="35">
        <f t="shared" si="7"/>
        <v>42399</v>
      </c>
      <c r="D198" s="212" t="s">
        <v>1004</v>
      </c>
      <c r="E198" s="35">
        <v>42399</v>
      </c>
      <c r="F198" s="144" t="s">
        <v>353</v>
      </c>
      <c r="G198" s="191" t="s">
        <v>221</v>
      </c>
      <c r="H198" s="198"/>
      <c r="I198" s="186"/>
      <c r="J198" s="186"/>
      <c r="K198" s="185"/>
      <c r="L198" s="186"/>
      <c r="M198" s="36">
        <v>313000</v>
      </c>
      <c r="N198" s="37"/>
      <c r="O198" s="37" t="s">
        <v>34</v>
      </c>
      <c r="P198" s="47" t="str">
        <f>IF(AND('331-CT'!$F$5=TH!H198,OR(N198="331",O198="331")),"x","")</f>
        <v/>
      </c>
      <c r="Q198" s="47" t="str">
        <f>IF(AND(B198='111'!$L$11,OR($N198=$Q$7,$O198=$Q$7)),"x","")</f>
        <v/>
      </c>
      <c r="R198" s="47" t="str">
        <f>IF(AND($N198=$Q$7,$B198&lt;'111'!$L$11),"x","")</f>
        <v/>
      </c>
      <c r="S198" s="47" t="str">
        <f>IF(AND($O198=$Q$7,$B198&lt;'111'!$L$11),"x","")</f>
        <v>x</v>
      </c>
    </row>
    <row r="199" spans="1:19" ht="15.75" customHeight="1">
      <c r="A199" s="152" t="str">
        <f>IF(B199&lt;&gt;"",IF(AND(B199='IN-TC'!$S$4,OR(TH!N199="1111",TH!O199="1111")),TH!D199,""),"")</f>
        <v/>
      </c>
      <c r="B199" s="34">
        <f t="shared" si="6"/>
        <v>1</v>
      </c>
      <c r="C199" s="35">
        <f t="shared" si="7"/>
        <v>42399</v>
      </c>
      <c r="D199" s="212" t="s">
        <v>1005</v>
      </c>
      <c r="E199" s="35">
        <v>42399</v>
      </c>
      <c r="F199" s="144" t="s">
        <v>354</v>
      </c>
      <c r="G199" s="191" t="s">
        <v>111</v>
      </c>
      <c r="H199" s="198"/>
      <c r="I199" s="186"/>
      <c r="J199" s="186"/>
      <c r="K199" s="185"/>
      <c r="L199" s="186"/>
      <c r="M199" s="36">
        <v>305000</v>
      </c>
      <c r="N199" s="37"/>
      <c r="O199" s="37" t="s">
        <v>34</v>
      </c>
      <c r="P199" s="47" t="str">
        <f>IF(AND('331-CT'!$F$5=TH!H199,OR(N199="331",O199="331")),"x","")</f>
        <v/>
      </c>
      <c r="Q199" s="47" t="str">
        <f>IF(AND(B199='111'!$L$11,OR($N199=$Q$7,$O199=$Q$7)),"x","")</f>
        <v/>
      </c>
      <c r="R199" s="47" t="str">
        <f>IF(AND($N199=$Q$7,$B199&lt;'111'!$L$11),"x","")</f>
        <v/>
      </c>
      <c r="S199" s="47" t="str">
        <f>IF(AND($O199=$Q$7,$B199&lt;'111'!$L$11),"x","")</f>
        <v>x</v>
      </c>
    </row>
    <row r="200" spans="1:19" ht="15.75" customHeight="1">
      <c r="A200" s="152" t="str">
        <f>IF(B200&lt;&gt;"",IF(AND(B200='IN-TC'!$S$4,OR(TH!N200="1111",TH!O200="1111")),TH!D200,""),"")</f>
        <v/>
      </c>
      <c r="B200" s="34">
        <f t="shared" si="6"/>
        <v>2</v>
      </c>
      <c r="C200" s="35">
        <f t="shared" si="7"/>
        <v>42401</v>
      </c>
      <c r="D200" s="212" t="s">
        <v>860</v>
      </c>
      <c r="E200" s="35">
        <v>42401</v>
      </c>
      <c r="F200" s="144" t="s">
        <v>355</v>
      </c>
      <c r="G200" s="191" t="s">
        <v>204</v>
      </c>
      <c r="H200" s="198"/>
      <c r="I200" s="186"/>
      <c r="J200" s="186"/>
      <c r="K200" s="185"/>
      <c r="L200" s="186"/>
      <c r="M200" s="36">
        <v>140000000</v>
      </c>
      <c r="N200" s="37"/>
      <c r="O200" s="37" t="s">
        <v>34</v>
      </c>
      <c r="P200" s="47" t="str">
        <f>IF(AND('331-CT'!$F$5=TH!H200,OR(N200="331",O200="331")),"x","")</f>
        <v/>
      </c>
      <c r="Q200" s="47" t="str">
        <f>IF(AND(B200='111'!$L$11,OR($N200=$Q$7,$O200=$Q$7)),"x","")</f>
        <v/>
      </c>
      <c r="R200" s="47" t="str">
        <f>IF(AND($N200=$Q$7,$B200&lt;'111'!$L$11),"x","")</f>
        <v/>
      </c>
      <c r="S200" s="47" t="str">
        <f>IF(AND($O200=$Q$7,$B200&lt;'111'!$L$11),"x","")</f>
        <v>x</v>
      </c>
    </row>
    <row r="201" spans="1:19" ht="15.75" customHeight="1">
      <c r="A201" s="152" t="str">
        <f>IF(B201&lt;&gt;"",IF(AND(B201='IN-TC'!$S$4,OR(TH!N201="1111",TH!O201="1111")),TH!D201,""),"")</f>
        <v/>
      </c>
      <c r="B201" s="34">
        <f t="shared" si="6"/>
        <v>2</v>
      </c>
      <c r="C201" s="35">
        <f t="shared" si="7"/>
        <v>42401</v>
      </c>
      <c r="D201" s="212" t="s">
        <v>861</v>
      </c>
      <c r="E201" s="35">
        <v>42401</v>
      </c>
      <c r="F201" s="144" t="s">
        <v>1395</v>
      </c>
      <c r="G201" s="191" t="s">
        <v>206</v>
      </c>
      <c r="H201" s="198" t="s">
        <v>847</v>
      </c>
      <c r="I201" s="186"/>
      <c r="J201" s="186"/>
      <c r="K201" s="185"/>
      <c r="L201" s="186"/>
      <c r="M201" s="36">
        <v>100000000</v>
      </c>
      <c r="N201" s="37" t="s">
        <v>8</v>
      </c>
      <c r="O201" s="37" t="s">
        <v>34</v>
      </c>
      <c r="P201" s="47" t="str">
        <f>IF(AND('331-CT'!$F$5=TH!H201,OR(N201="331",O201="331")),"x","")</f>
        <v/>
      </c>
      <c r="Q201" s="47" t="str">
        <f>IF(AND(B201='111'!$L$11,OR($N201=$Q$7,$O201=$Q$7)),"x","")</f>
        <v/>
      </c>
      <c r="R201" s="47" t="str">
        <f>IF(AND($N201=$Q$7,$B201&lt;'111'!$L$11),"x","")</f>
        <v/>
      </c>
      <c r="S201" s="47" t="str">
        <f>IF(AND($O201=$Q$7,$B201&lt;'111'!$L$11),"x","")</f>
        <v>x</v>
      </c>
    </row>
    <row r="202" spans="1:19" ht="15.75" customHeight="1">
      <c r="A202" s="152" t="str">
        <f>IF(B202&lt;&gt;"",IF(AND(B202='IN-TC'!$S$4,OR(TH!N202="1111",TH!O202="1111")),TH!D202,""),"")</f>
        <v/>
      </c>
      <c r="B202" s="34">
        <f t="shared" si="6"/>
        <v>2</v>
      </c>
      <c r="C202" s="35">
        <f t="shared" si="7"/>
        <v>42401</v>
      </c>
      <c r="D202" s="212" t="s">
        <v>862</v>
      </c>
      <c r="E202" s="35">
        <v>42401</v>
      </c>
      <c r="F202" s="144" t="s">
        <v>1382</v>
      </c>
      <c r="G202" s="191" t="s">
        <v>203</v>
      </c>
      <c r="H202" s="198" t="s">
        <v>1067</v>
      </c>
      <c r="I202" s="186"/>
      <c r="J202" s="186"/>
      <c r="K202" s="185"/>
      <c r="L202" s="186"/>
      <c r="M202" s="36">
        <v>10517000</v>
      </c>
      <c r="N202" s="37" t="s">
        <v>814</v>
      </c>
      <c r="O202" s="37" t="s">
        <v>34</v>
      </c>
      <c r="P202" s="47" t="str">
        <f>IF(AND('331-CT'!$F$5=TH!H202,OR(N202="331",O202="331")),"x","")</f>
        <v/>
      </c>
      <c r="Q202" s="47" t="str">
        <f>IF(AND(B202='111'!$L$11,OR($N202=$Q$7,$O202=$Q$7)),"x","")</f>
        <v/>
      </c>
      <c r="R202" s="47" t="str">
        <f>IF(AND($N202=$Q$7,$B202&lt;'111'!$L$11),"x","")</f>
        <v/>
      </c>
      <c r="S202" s="47" t="str">
        <f>IF(AND($O202=$Q$7,$B202&lt;'111'!$L$11),"x","")</f>
        <v>x</v>
      </c>
    </row>
    <row r="203" spans="1:19" ht="15.75" customHeight="1">
      <c r="A203" s="152" t="str">
        <f>IF(B203&lt;&gt;"",IF(AND(B203='IN-TC'!$S$4,OR(TH!N203="1111",TH!O203="1111")),TH!D203,""),"")</f>
        <v/>
      </c>
      <c r="B203" s="34">
        <f t="shared" si="6"/>
        <v>2</v>
      </c>
      <c r="C203" s="35">
        <f t="shared" si="7"/>
        <v>42401</v>
      </c>
      <c r="D203" s="212" t="s">
        <v>863</v>
      </c>
      <c r="E203" s="35">
        <v>42401</v>
      </c>
      <c r="F203" s="144" t="s">
        <v>1385</v>
      </c>
      <c r="G203" s="191" t="s">
        <v>203</v>
      </c>
      <c r="H203" s="198" t="s">
        <v>1414</v>
      </c>
      <c r="I203" s="186"/>
      <c r="J203" s="186"/>
      <c r="K203" s="185"/>
      <c r="L203" s="186"/>
      <c r="M203" s="36">
        <v>6017000</v>
      </c>
      <c r="N203" s="37" t="s">
        <v>814</v>
      </c>
      <c r="O203" s="37" t="s">
        <v>34</v>
      </c>
      <c r="P203" s="47" t="str">
        <f>IF(AND('331-CT'!$F$5=TH!H203,OR(N203="331",O203="331")),"x","")</f>
        <v/>
      </c>
      <c r="Q203" s="47" t="str">
        <f>IF(AND(B203='111'!$L$11,OR($N203=$Q$7,$O203=$Q$7)),"x","")</f>
        <v/>
      </c>
      <c r="R203" s="47" t="str">
        <f>IF(AND($N203=$Q$7,$B203&lt;'111'!$L$11),"x","")</f>
        <v/>
      </c>
      <c r="S203" s="47" t="str">
        <f>IF(AND($O203=$Q$7,$B203&lt;'111'!$L$11),"x","")</f>
        <v>x</v>
      </c>
    </row>
    <row r="204" spans="1:19" ht="15.75" customHeight="1">
      <c r="A204" s="152" t="str">
        <f>IF(B204&lt;&gt;"",IF(AND(B204='IN-TC'!$S$4,OR(TH!N204="1111",TH!O204="1111")),TH!D204,""),"")</f>
        <v/>
      </c>
      <c r="B204" s="34">
        <f t="shared" si="6"/>
        <v>2</v>
      </c>
      <c r="C204" s="35">
        <f t="shared" si="7"/>
        <v>42401</v>
      </c>
      <c r="D204" s="212" t="s">
        <v>864</v>
      </c>
      <c r="E204" s="35">
        <v>42401</v>
      </c>
      <c r="F204" s="144" t="s">
        <v>356</v>
      </c>
      <c r="G204" s="191" t="s">
        <v>202</v>
      </c>
      <c r="H204" s="198"/>
      <c r="I204" s="186"/>
      <c r="J204" s="186"/>
      <c r="K204" s="185"/>
      <c r="L204" s="186"/>
      <c r="M204" s="36">
        <v>700000</v>
      </c>
      <c r="N204" s="37"/>
      <c r="O204" s="37" t="s">
        <v>34</v>
      </c>
      <c r="P204" s="47" t="str">
        <f>IF(AND('331-CT'!$F$5=TH!H204,OR(N204="331",O204="331")),"x","")</f>
        <v/>
      </c>
      <c r="Q204" s="47" t="str">
        <f>IF(AND(B204='111'!$L$11,OR($N204=$Q$7,$O204=$Q$7)),"x","")</f>
        <v/>
      </c>
      <c r="R204" s="47" t="str">
        <f>IF(AND($N204=$Q$7,$B204&lt;'111'!$L$11),"x","")</f>
        <v/>
      </c>
      <c r="S204" s="47" t="str">
        <f>IF(AND($O204=$Q$7,$B204&lt;'111'!$L$11),"x","")</f>
        <v>x</v>
      </c>
    </row>
    <row r="205" spans="1:19" ht="15.75" customHeight="1">
      <c r="A205" s="152" t="str">
        <f>IF(B205&lt;&gt;"",IF(AND(B205='IN-TC'!$S$4,OR(TH!N205="1111",TH!O205="1111")),TH!D205,""),"")</f>
        <v/>
      </c>
      <c r="B205" s="34">
        <f t="shared" ref="B205:B268" si="9">IF(C205&lt;&gt;"",MONTH(C205),"")</f>
        <v>2</v>
      </c>
      <c r="C205" s="35">
        <f t="shared" ref="C205:C268" si="10">E205</f>
        <v>42401</v>
      </c>
      <c r="D205" s="212" t="s">
        <v>865</v>
      </c>
      <c r="E205" s="35">
        <v>42401</v>
      </c>
      <c r="F205" s="144" t="s">
        <v>357</v>
      </c>
      <c r="G205" s="191" t="s">
        <v>208</v>
      </c>
      <c r="H205" s="198"/>
      <c r="I205" s="186"/>
      <c r="J205" s="186"/>
      <c r="K205" s="185"/>
      <c r="L205" s="186"/>
      <c r="M205" s="36">
        <v>803000</v>
      </c>
      <c r="N205" s="37"/>
      <c r="O205" s="37" t="s">
        <v>34</v>
      </c>
      <c r="P205" s="47" t="str">
        <f>IF(AND('331-CT'!$F$5=TH!H205,OR(N205="331",O205="331")),"x","")</f>
        <v/>
      </c>
      <c r="Q205" s="47" t="str">
        <f>IF(AND(B205='111'!$L$11,OR($N205=$Q$7,$O205=$Q$7)),"x","")</f>
        <v/>
      </c>
      <c r="R205" s="47" t="str">
        <f>IF(AND($N205=$Q$7,$B205&lt;'111'!$L$11),"x","")</f>
        <v/>
      </c>
      <c r="S205" s="47" t="str">
        <f>IF(AND($O205=$Q$7,$B205&lt;'111'!$L$11),"x","")</f>
        <v>x</v>
      </c>
    </row>
    <row r="206" spans="1:19" ht="15.75" customHeight="1">
      <c r="A206" s="152" t="str">
        <f>IF(B206&lt;&gt;"",IF(AND(B206='IN-TC'!$S$4,OR(TH!N206="1111",TH!O206="1111")),TH!D206,""),"")</f>
        <v/>
      </c>
      <c r="B206" s="34">
        <f t="shared" si="9"/>
        <v>2</v>
      </c>
      <c r="C206" s="35">
        <f t="shared" si="10"/>
        <v>42401</v>
      </c>
      <c r="D206" s="212" t="s">
        <v>866</v>
      </c>
      <c r="E206" s="35">
        <v>42401</v>
      </c>
      <c r="F206" s="144" t="s">
        <v>281</v>
      </c>
      <c r="G206" s="191" t="s">
        <v>111</v>
      </c>
      <c r="H206" s="198"/>
      <c r="I206" s="186"/>
      <c r="J206" s="186"/>
      <c r="K206" s="185"/>
      <c r="L206" s="186"/>
      <c r="M206" s="36">
        <v>480000</v>
      </c>
      <c r="N206" s="37"/>
      <c r="O206" s="37" t="s">
        <v>34</v>
      </c>
      <c r="P206" s="47" t="str">
        <f>IF(AND('331-CT'!$F$5=TH!H206,OR(N206="331",O206="331")),"x","")</f>
        <v/>
      </c>
      <c r="Q206" s="47" t="str">
        <f>IF(AND(B206='111'!$L$11,OR($N206=$Q$7,$O206=$Q$7)),"x","")</f>
        <v/>
      </c>
      <c r="R206" s="47" t="str">
        <f>IF(AND($N206=$Q$7,$B206&lt;'111'!$L$11),"x","")</f>
        <v/>
      </c>
      <c r="S206" s="47" t="str">
        <f>IF(AND($O206=$Q$7,$B206&lt;'111'!$L$11),"x","")</f>
        <v>x</v>
      </c>
    </row>
    <row r="207" spans="1:19" ht="15.75" customHeight="1">
      <c r="A207" s="152" t="str">
        <f>IF(B207&lt;&gt;"",IF(AND(B207='IN-TC'!$S$4,OR(TH!N207="1111",TH!O207="1111")),TH!D207,""),"")</f>
        <v/>
      </c>
      <c r="B207" s="34">
        <f t="shared" si="9"/>
        <v>2</v>
      </c>
      <c r="C207" s="35">
        <f t="shared" si="10"/>
        <v>42401</v>
      </c>
      <c r="D207" s="212" t="s">
        <v>867</v>
      </c>
      <c r="E207" s="35">
        <v>42401</v>
      </c>
      <c r="F207" s="144" t="s">
        <v>358</v>
      </c>
      <c r="G207" s="191" t="s">
        <v>208</v>
      </c>
      <c r="H207" s="198"/>
      <c r="I207" s="186"/>
      <c r="J207" s="186"/>
      <c r="K207" s="185"/>
      <c r="L207" s="186"/>
      <c r="M207" s="36">
        <v>2515000</v>
      </c>
      <c r="N207" s="37"/>
      <c r="O207" s="37" t="s">
        <v>34</v>
      </c>
      <c r="P207" s="47" t="str">
        <f>IF(AND('331-CT'!$F$5=TH!H207,OR(N207="331",O207="331")),"x","")</f>
        <v/>
      </c>
      <c r="Q207" s="47" t="str">
        <f>IF(AND(B207='111'!$L$11,OR($N207=$Q$7,$O207=$Q$7)),"x","")</f>
        <v/>
      </c>
      <c r="R207" s="47" t="str">
        <f>IF(AND($N207=$Q$7,$B207&lt;'111'!$L$11),"x","")</f>
        <v/>
      </c>
      <c r="S207" s="47" t="str">
        <f>IF(AND($O207=$Q$7,$B207&lt;'111'!$L$11),"x","")</f>
        <v>x</v>
      </c>
    </row>
    <row r="208" spans="1:19" ht="15.75" customHeight="1">
      <c r="A208" s="152" t="str">
        <f>IF(B208&lt;&gt;"",IF(AND(B208='IN-TC'!$S$4,OR(TH!N208="1111",TH!O208="1111")),TH!D208,""),"")</f>
        <v/>
      </c>
      <c r="B208" s="34">
        <f t="shared" si="9"/>
        <v>2</v>
      </c>
      <c r="C208" s="35">
        <f t="shared" si="10"/>
        <v>42401</v>
      </c>
      <c r="D208" s="212" t="s">
        <v>868</v>
      </c>
      <c r="E208" s="35">
        <v>42401</v>
      </c>
      <c r="F208" s="144" t="s">
        <v>359</v>
      </c>
      <c r="G208" s="191" t="s">
        <v>202</v>
      </c>
      <c r="H208" s="198"/>
      <c r="I208" s="186"/>
      <c r="J208" s="186"/>
      <c r="K208" s="185"/>
      <c r="L208" s="186"/>
      <c r="M208" s="36">
        <v>295000</v>
      </c>
      <c r="N208" s="37"/>
      <c r="O208" s="37" t="s">
        <v>34</v>
      </c>
      <c r="P208" s="47" t="str">
        <f>IF(AND('331-CT'!$F$5=TH!H208,OR(N208="331",O208="331")),"x","")</f>
        <v/>
      </c>
      <c r="Q208" s="47" t="str">
        <f>IF(AND(B208='111'!$L$11,OR($N208=$Q$7,$O208=$Q$7)),"x","")</f>
        <v/>
      </c>
      <c r="R208" s="47" t="str">
        <f>IF(AND($N208=$Q$7,$B208&lt;'111'!$L$11),"x","")</f>
        <v/>
      </c>
      <c r="S208" s="47" t="str">
        <f>IF(AND($O208=$Q$7,$B208&lt;'111'!$L$11),"x","")</f>
        <v>x</v>
      </c>
    </row>
    <row r="209" spans="1:19" ht="15.75" customHeight="1">
      <c r="A209" s="152" t="str">
        <f>IF(B209&lt;&gt;"",IF(AND(B209='IN-TC'!$S$4,OR(TH!N209="1111",TH!O209="1111")),TH!D209,""),"")</f>
        <v/>
      </c>
      <c r="B209" s="34">
        <f t="shared" si="9"/>
        <v>2</v>
      </c>
      <c r="C209" s="35">
        <f t="shared" si="10"/>
        <v>42401</v>
      </c>
      <c r="D209" s="212" t="s">
        <v>869</v>
      </c>
      <c r="E209" s="35">
        <v>42401</v>
      </c>
      <c r="F209" s="144" t="s">
        <v>360</v>
      </c>
      <c r="G209" s="191" t="s">
        <v>214</v>
      </c>
      <c r="H209" s="198"/>
      <c r="I209" s="186"/>
      <c r="J209" s="186"/>
      <c r="K209" s="185"/>
      <c r="L209" s="186"/>
      <c r="M209" s="36">
        <v>240000</v>
      </c>
      <c r="N209" s="37"/>
      <c r="O209" s="37" t="s">
        <v>34</v>
      </c>
      <c r="P209" s="47" t="str">
        <f>IF(AND('331-CT'!$F$5=TH!H209,OR(N209="331",O209="331")),"x","")</f>
        <v/>
      </c>
      <c r="Q209" s="47" t="str">
        <f>IF(AND(B209='111'!$L$11,OR($N209=$Q$7,$O209=$Q$7)),"x","")</f>
        <v/>
      </c>
      <c r="R209" s="47" t="str">
        <f>IF(AND($N209=$Q$7,$B209&lt;'111'!$L$11),"x","")</f>
        <v/>
      </c>
      <c r="S209" s="47" t="str">
        <f>IF(AND($O209=$Q$7,$B209&lt;'111'!$L$11),"x","")</f>
        <v>x</v>
      </c>
    </row>
    <row r="210" spans="1:19" ht="15.75" customHeight="1">
      <c r="A210" s="152" t="str">
        <f>IF(B210&lt;&gt;"",IF(AND(B210='IN-TC'!$S$4,OR(TH!N210="1111",TH!O210="1111")),TH!D210,""),"")</f>
        <v/>
      </c>
      <c r="B210" s="34">
        <f t="shared" si="9"/>
        <v>2</v>
      </c>
      <c r="C210" s="35">
        <f t="shared" si="10"/>
        <v>42401</v>
      </c>
      <c r="D210" s="212" t="s">
        <v>870</v>
      </c>
      <c r="E210" s="35">
        <v>42401</v>
      </c>
      <c r="F210" s="144" t="s">
        <v>361</v>
      </c>
      <c r="G210" s="191" t="s">
        <v>204</v>
      </c>
      <c r="H210" s="198"/>
      <c r="I210" s="186"/>
      <c r="J210" s="186"/>
      <c r="K210" s="185"/>
      <c r="L210" s="186"/>
      <c r="M210" s="36">
        <v>8025000</v>
      </c>
      <c r="N210" s="37"/>
      <c r="O210" s="37" t="s">
        <v>34</v>
      </c>
      <c r="P210" s="47" t="str">
        <f>IF(AND('331-CT'!$F$5=TH!H210,OR(N210="331",O210="331")),"x","")</f>
        <v/>
      </c>
      <c r="Q210" s="47" t="str">
        <f>IF(AND(B210='111'!$L$11,OR($N210=$Q$7,$O210=$Q$7)),"x","")</f>
        <v/>
      </c>
      <c r="R210" s="47" t="str">
        <f>IF(AND($N210=$Q$7,$B210&lt;'111'!$L$11),"x","")</f>
        <v/>
      </c>
      <c r="S210" s="47" t="str">
        <f>IF(AND($O210=$Q$7,$B210&lt;'111'!$L$11),"x","")</f>
        <v>x</v>
      </c>
    </row>
    <row r="211" spans="1:19" ht="15.75" customHeight="1">
      <c r="A211" s="152" t="str">
        <f>IF(B211&lt;&gt;"",IF(AND(B211='IN-TC'!$S$4,OR(TH!N211="1111",TH!O211="1111")),TH!D211,""),"")</f>
        <v/>
      </c>
      <c r="B211" s="34">
        <f t="shared" si="9"/>
        <v>2</v>
      </c>
      <c r="C211" s="35">
        <f t="shared" si="10"/>
        <v>42403</v>
      </c>
      <c r="D211" s="212" t="s">
        <v>934</v>
      </c>
      <c r="E211" s="35">
        <v>42403</v>
      </c>
      <c r="F211" s="144" t="s">
        <v>132</v>
      </c>
      <c r="G211" s="191" t="s">
        <v>104</v>
      </c>
      <c r="H211" s="198"/>
      <c r="I211" s="186"/>
      <c r="J211" s="186"/>
      <c r="K211" s="185"/>
      <c r="L211" s="186"/>
      <c r="M211" s="36">
        <v>1670000000</v>
      </c>
      <c r="N211" s="37" t="s">
        <v>34</v>
      </c>
      <c r="O211" s="37" t="s">
        <v>1404</v>
      </c>
      <c r="P211" s="47" t="str">
        <f>IF(AND('331-CT'!$F$5=TH!H211,OR(N211="331",O211="331")),"x","")</f>
        <v/>
      </c>
      <c r="Q211" s="47" t="str">
        <f>IF(AND(B211='111'!$L$11,OR($N211=$Q$7,$O211=$Q$7)),"x","")</f>
        <v/>
      </c>
      <c r="R211" s="47" t="str">
        <f>IF(AND($N211=$Q$7,$B211&lt;'111'!$L$11),"x","")</f>
        <v>x</v>
      </c>
      <c r="S211" s="47" t="str">
        <f>IF(AND($O211=$Q$7,$B211&lt;'111'!$L$11),"x","")</f>
        <v/>
      </c>
    </row>
    <row r="212" spans="1:19" ht="15.75" customHeight="1">
      <c r="A212" s="152" t="str">
        <f>IF(B212&lt;&gt;"",IF(AND(B212='IN-TC'!$S$4,OR(TH!N212="1111",TH!O212="1111")),TH!D212,""),"")</f>
        <v/>
      </c>
      <c r="B212" s="34">
        <f t="shared" si="9"/>
        <v>2</v>
      </c>
      <c r="C212" s="35">
        <f t="shared" si="10"/>
        <v>42403</v>
      </c>
      <c r="D212" s="212" t="s">
        <v>871</v>
      </c>
      <c r="E212" s="35">
        <v>42403</v>
      </c>
      <c r="F212" s="144" t="s">
        <v>362</v>
      </c>
      <c r="G212" s="191" t="s">
        <v>112</v>
      </c>
      <c r="H212" s="198"/>
      <c r="I212" s="186"/>
      <c r="J212" s="186"/>
      <c r="K212" s="185"/>
      <c r="L212" s="186"/>
      <c r="M212" s="36">
        <v>600000000</v>
      </c>
      <c r="N212" s="37"/>
      <c r="O212" s="37" t="s">
        <v>34</v>
      </c>
      <c r="P212" s="47" t="str">
        <f>IF(AND('331-CT'!$F$5=TH!H212,OR(N212="331",O212="331")),"x","")</f>
        <v/>
      </c>
      <c r="Q212" s="47" t="str">
        <f>IF(AND(B212='111'!$L$11,OR($N212=$Q$7,$O212=$Q$7)),"x","")</f>
        <v/>
      </c>
      <c r="R212" s="47" t="str">
        <f>IF(AND($N212=$Q$7,$B212&lt;'111'!$L$11),"x","")</f>
        <v/>
      </c>
      <c r="S212" s="47" t="str">
        <f>IF(AND($O212=$Q$7,$B212&lt;'111'!$L$11),"x","")</f>
        <v>x</v>
      </c>
    </row>
    <row r="213" spans="1:19" ht="15.75" customHeight="1">
      <c r="A213" s="152" t="str">
        <f>IF(B213&lt;&gt;"",IF(AND(B213='IN-TC'!$S$4,OR(TH!N213="1111",TH!O213="1111")),TH!D213,""),"")</f>
        <v/>
      </c>
      <c r="B213" s="34">
        <f t="shared" si="9"/>
        <v>2</v>
      </c>
      <c r="C213" s="35">
        <f t="shared" si="10"/>
        <v>42403</v>
      </c>
      <c r="D213" s="212" t="s">
        <v>872</v>
      </c>
      <c r="E213" s="35">
        <v>42403</v>
      </c>
      <c r="F213" s="144" t="s">
        <v>363</v>
      </c>
      <c r="G213" s="191" t="s">
        <v>104</v>
      </c>
      <c r="H213" s="198"/>
      <c r="I213" s="186"/>
      <c r="J213" s="186"/>
      <c r="K213" s="185"/>
      <c r="L213" s="186"/>
      <c r="M213" s="36">
        <v>20000000</v>
      </c>
      <c r="N213" s="37"/>
      <c r="O213" s="37" t="s">
        <v>34</v>
      </c>
      <c r="P213" s="47" t="str">
        <f>IF(AND('331-CT'!$F$5=TH!H213,OR(N213="331",O213="331")),"x","")</f>
        <v/>
      </c>
      <c r="Q213" s="47" t="str">
        <f>IF(AND(B213='111'!$L$11,OR($N213=$Q$7,$O213=$Q$7)),"x","")</f>
        <v/>
      </c>
      <c r="R213" s="47" t="str">
        <f>IF(AND($N213=$Q$7,$B213&lt;'111'!$L$11),"x","")</f>
        <v/>
      </c>
      <c r="S213" s="47" t="str">
        <f>IF(AND($O213=$Q$7,$B213&lt;'111'!$L$11),"x","")</f>
        <v>x</v>
      </c>
    </row>
    <row r="214" spans="1:19" ht="15.75" customHeight="1">
      <c r="A214" s="152" t="str">
        <f>IF(B214&lt;&gt;"",IF(AND(B214='IN-TC'!$S$4,OR(TH!N214="1111",TH!O214="1111")),TH!D214,""),"")</f>
        <v/>
      </c>
      <c r="B214" s="34">
        <f t="shared" si="9"/>
        <v>2</v>
      </c>
      <c r="C214" s="35">
        <f t="shared" si="10"/>
        <v>42403</v>
      </c>
      <c r="D214" s="212" t="s">
        <v>873</v>
      </c>
      <c r="E214" s="35">
        <v>42403</v>
      </c>
      <c r="F214" s="144" t="s">
        <v>364</v>
      </c>
      <c r="G214" s="191" t="s">
        <v>205</v>
      </c>
      <c r="H214" s="198"/>
      <c r="I214" s="186"/>
      <c r="J214" s="186"/>
      <c r="K214" s="185"/>
      <c r="L214" s="186"/>
      <c r="M214" s="36">
        <v>4476000</v>
      </c>
      <c r="N214" s="37"/>
      <c r="O214" s="37" t="s">
        <v>34</v>
      </c>
      <c r="P214" s="47" t="str">
        <f>IF(AND('331-CT'!$F$5=TH!H214,OR(N214="331",O214="331")),"x","")</f>
        <v/>
      </c>
      <c r="Q214" s="47" t="str">
        <f>IF(AND(B214='111'!$L$11,OR($N214=$Q$7,$O214=$Q$7)),"x","")</f>
        <v/>
      </c>
      <c r="R214" s="47" t="str">
        <f>IF(AND($N214=$Q$7,$B214&lt;'111'!$L$11),"x","")</f>
        <v/>
      </c>
      <c r="S214" s="47" t="str">
        <f>IF(AND($O214=$Q$7,$B214&lt;'111'!$L$11),"x","")</f>
        <v>x</v>
      </c>
    </row>
    <row r="215" spans="1:19" ht="15.75" customHeight="1">
      <c r="A215" s="152" t="str">
        <f>IF(B215&lt;&gt;"",IF(AND(B215='IN-TC'!$S$4,OR(TH!N215="1111",TH!O215="1111")),TH!D215,""),"")</f>
        <v/>
      </c>
      <c r="B215" s="34">
        <f t="shared" si="9"/>
        <v>2</v>
      </c>
      <c r="C215" s="35">
        <f t="shared" si="10"/>
        <v>42403</v>
      </c>
      <c r="D215" s="212" t="s">
        <v>874</v>
      </c>
      <c r="E215" s="35">
        <v>42403</v>
      </c>
      <c r="F215" s="144" t="s">
        <v>365</v>
      </c>
      <c r="G215" s="191" t="s">
        <v>207</v>
      </c>
      <c r="H215" s="198"/>
      <c r="I215" s="186"/>
      <c r="J215" s="186"/>
      <c r="K215" s="185"/>
      <c r="L215" s="186"/>
      <c r="M215" s="36">
        <v>482000</v>
      </c>
      <c r="N215" s="37"/>
      <c r="O215" s="37" t="s">
        <v>34</v>
      </c>
      <c r="P215" s="47" t="str">
        <f>IF(AND('331-CT'!$F$5=TH!H215,OR(N215="331",O215="331")),"x","")</f>
        <v/>
      </c>
      <c r="Q215" s="47" t="str">
        <f>IF(AND(B215='111'!$L$11,OR($N215=$Q$7,$O215=$Q$7)),"x","")</f>
        <v/>
      </c>
      <c r="R215" s="47" t="str">
        <f>IF(AND($N215=$Q$7,$B215&lt;'111'!$L$11),"x","")</f>
        <v/>
      </c>
      <c r="S215" s="47" t="str">
        <f>IF(AND($O215=$Q$7,$B215&lt;'111'!$L$11),"x","")</f>
        <v>x</v>
      </c>
    </row>
    <row r="216" spans="1:19" ht="15.75" customHeight="1">
      <c r="A216" s="152" t="str">
        <f>IF(B216&lt;&gt;"",IF(AND(B216='IN-TC'!$S$4,OR(TH!N216="1111",TH!O216="1111")),TH!D216,""),"")</f>
        <v/>
      </c>
      <c r="B216" s="34">
        <f t="shared" si="9"/>
        <v>2</v>
      </c>
      <c r="C216" s="35">
        <f t="shared" si="10"/>
        <v>42403</v>
      </c>
      <c r="D216" s="212" t="s">
        <v>875</v>
      </c>
      <c r="E216" s="35">
        <v>42403</v>
      </c>
      <c r="F216" s="144" t="s">
        <v>366</v>
      </c>
      <c r="G216" s="191" t="s">
        <v>206</v>
      </c>
      <c r="H216" s="198" t="s">
        <v>839</v>
      </c>
      <c r="I216" s="186"/>
      <c r="J216" s="186"/>
      <c r="K216" s="185"/>
      <c r="L216" s="186"/>
      <c r="M216" s="36">
        <v>200000000</v>
      </c>
      <c r="N216" s="37" t="s">
        <v>8</v>
      </c>
      <c r="O216" s="37" t="s">
        <v>34</v>
      </c>
      <c r="P216" s="47" t="str">
        <f>IF(AND('331-CT'!$F$5=TH!H216,OR(N216="331",O216="331")),"x","")</f>
        <v/>
      </c>
      <c r="Q216" s="47" t="str">
        <f>IF(AND(B216='111'!$L$11,OR($N216=$Q$7,$O216=$Q$7)),"x","")</f>
        <v/>
      </c>
      <c r="R216" s="47" t="str">
        <f>IF(AND($N216=$Q$7,$B216&lt;'111'!$L$11),"x","")</f>
        <v/>
      </c>
      <c r="S216" s="47" t="str">
        <f>IF(AND($O216=$Q$7,$B216&lt;'111'!$L$11),"x","")</f>
        <v>x</v>
      </c>
    </row>
    <row r="217" spans="1:19" ht="15.75" customHeight="1">
      <c r="A217" s="152" t="str">
        <f>IF(B217&lt;&gt;"",IF(AND(B217='IN-TC'!$S$4,OR(TH!N217="1111",TH!O217="1111")),TH!D217,""),"")</f>
        <v/>
      </c>
      <c r="B217" s="34">
        <f t="shared" si="9"/>
        <v>2</v>
      </c>
      <c r="C217" s="35">
        <f t="shared" si="10"/>
        <v>42403</v>
      </c>
      <c r="D217" s="212" t="s">
        <v>876</v>
      </c>
      <c r="E217" s="35">
        <v>42403</v>
      </c>
      <c r="F217" s="144" t="s">
        <v>367</v>
      </c>
      <c r="G217" s="191" t="s">
        <v>206</v>
      </c>
      <c r="H217" s="198" t="s">
        <v>849</v>
      </c>
      <c r="I217" s="186"/>
      <c r="J217" s="186"/>
      <c r="K217" s="185"/>
      <c r="L217" s="186"/>
      <c r="M217" s="36">
        <v>100000000</v>
      </c>
      <c r="N217" s="37" t="s">
        <v>8</v>
      </c>
      <c r="O217" s="37" t="s">
        <v>34</v>
      </c>
      <c r="P217" s="47" t="str">
        <f>IF(AND('331-CT'!$F$5=TH!H217,OR(N217="331",O217="331")),"x","")</f>
        <v/>
      </c>
      <c r="Q217" s="47" t="str">
        <f>IF(AND(B217='111'!$L$11,OR($N217=$Q$7,$O217=$Q$7)),"x","")</f>
        <v/>
      </c>
      <c r="R217" s="47" t="str">
        <f>IF(AND($N217=$Q$7,$B217&lt;'111'!$L$11),"x","")</f>
        <v/>
      </c>
      <c r="S217" s="47" t="str">
        <f>IF(AND($O217=$Q$7,$B217&lt;'111'!$L$11),"x","")</f>
        <v>x</v>
      </c>
    </row>
    <row r="218" spans="1:19" ht="15.75" customHeight="1">
      <c r="A218" s="152" t="str">
        <f>IF(B218&lt;&gt;"",IF(AND(B218='IN-TC'!$S$4,OR(TH!N218="1111",TH!O218="1111")),TH!D218,""),"")</f>
        <v/>
      </c>
      <c r="B218" s="34">
        <f t="shared" si="9"/>
        <v>2</v>
      </c>
      <c r="C218" s="35">
        <f t="shared" si="10"/>
        <v>42403</v>
      </c>
      <c r="D218" s="212" t="s">
        <v>877</v>
      </c>
      <c r="E218" s="35">
        <v>42403</v>
      </c>
      <c r="F218" s="144" t="s">
        <v>1395</v>
      </c>
      <c r="G218" s="191" t="s">
        <v>206</v>
      </c>
      <c r="H218" s="198" t="s">
        <v>847</v>
      </c>
      <c r="I218" s="186"/>
      <c r="J218" s="186"/>
      <c r="K218" s="185"/>
      <c r="L218" s="186"/>
      <c r="M218" s="36">
        <v>63502000</v>
      </c>
      <c r="N218" s="37" t="s">
        <v>8</v>
      </c>
      <c r="O218" s="37" t="s">
        <v>34</v>
      </c>
      <c r="P218" s="47" t="str">
        <f>IF(AND('331-CT'!$F$5=TH!H218,OR(N218="331",O218="331")),"x","")</f>
        <v/>
      </c>
      <c r="Q218" s="47" t="str">
        <f>IF(AND(B218='111'!$L$11,OR($N218=$Q$7,$O218=$Q$7)),"x","")</f>
        <v/>
      </c>
      <c r="R218" s="47" t="str">
        <f>IF(AND($N218=$Q$7,$B218&lt;'111'!$L$11),"x","")</f>
        <v/>
      </c>
      <c r="S218" s="47" t="str">
        <f>IF(AND($O218=$Q$7,$B218&lt;'111'!$L$11),"x","")</f>
        <v>x</v>
      </c>
    </row>
    <row r="219" spans="1:19" ht="15.75" customHeight="1">
      <c r="A219" s="152" t="str">
        <f>IF(B219&lt;&gt;"",IF(AND(B219='IN-TC'!$S$4,OR(TH!N219="1111",TH!O219="1111")),TH!D219,""),"")</f>
        <v/>
      </c>
      <c r="B219" s="34">
        <f t="shared" si="9"/>
        <v>2</v>
      </c>
      <c r="C219" s="35">
        <f t="shared" si="10"/>
        <v>42403</v>
      </c>
      <c r="D219" s="212" t="s">
        <v>878</v>
      </c>
      <c r="E219" s="35">
        <v>42403</v>
      </c>
      <c r="F219" s="144" t="s">
        <v>368</v>
      </c>
      <c r="G219" s="191" t="s">
        <v>204</v>
      </c>
      <c r="H219" s="198"/>
      <c r="I219" s="186"/>
      <c r="J219" s="186"/>
      <c r="K219" s="185"/>
      <c r="L219" s="186"/>
      <c r="M219" s="36">
        <v>240071000</v>
      </c>
      <c r="N219" s="37"/>
      <c r="O219" s="37" t="s">
        <v>34</v>
      </c>
      <c r="P219" s="47" t="str">
        <f>IF(AND('331-CT'!$F$5=TH!H219,OR(N219="331",O219="331")),"x","")</f>
        <v/>
      </c>
      <c r="Q219" s="47" t="str">
        <f>IF(AND(B219='111'!$L$11,OR($N219=$Q$7,$O219=$Q$7)),"x","")</f>
        <v/>
      </c>
      <c r="R219" s="47" t="str">
        <f>IF(AND($N219=$Q$7,$B219&lt;'111'!$L$11),"x","")</f>
        <v/>
      </c>
      <c r="S219" s="47" t="str">
        <f>IF(AND($O219=$Q$7,$B219&lt;'111'!$L$11),"x","")</f>
        <v>x</v>
      </c>
    </row>
    <row r="220" spans="1:19" ht="15.75" customHeight="1">
      <c r="A220" s="152" t="str">
        <f>IF(B220&lt;&gt;"",IF(AND(B220='IN-TC'!$S$4,OR(TH!N220="1111",TH!O220="1111")),TH!D220,""),"")</f>
        <v/>
      </c>
      <c r="B220" s="34">
        <f t="shared" si="9"/>
        <v>2</v>
      </c>
      <c r="C220" s="35">
        <f t="shared" si="10"/>
        <v>42403</v>
      </c>
      <c r="D220" s="212" t="s">
        <v>879</v>
      </c>
      <c r="E220" s="35">
        <v>42403</v>
      </c>
      <c r="F220" s="144" t="s">
        <v>369</v>
      </c>
      <c r="G220" s="191" t="s">
        <v>204</v>
      </c>
      <c r="H220" s="198"/>
      <c r="I220" s="186"/>
      <c r="J220" s="186"/>
      <c r="K220" s="185"/>
      <c r="L220" s="186"/>
      <c r="M220" s="36">
        <v>9050000</v>
      </c>
      <c r="N220" s="37"/>
      <c r="O220" s="37" t="s">
        <v>34</v>
      </c>
      <c r="P220" s="47" t="str">
        <f>IF(AND('331-CT'!$F$5=TH!H220,OR(N220="331",O220="331")),"x","")</f>
        <v/>
      </c>
      <c r="Q220" s="47" t="str">
        <f>IF(AND(B220='111'!$L$11,OR($N220=$Q$7,$O220=$Q$7)),"x","")</f>
        <v/>
      </c>
      <c r="R220" s="47" t="str">
        <f>IF(AND($N220=$Q$7,$B220&lt;'111'!$L$11),"x","")</f>
        <v/>
      </c>
      <c r="S220" s="47" t="str">
        <f>IF(AND($O220=$Q$7,$B220&lt;'111'!$L$11),"x","")</f>
        <v>x</v>
      </c>
    </row>
    <row r="221" spans="1:19" ht="15.75" customHeight="1">
      <c r="A221" s="152" t="str">
        <f>IF(B221&lt;&gt;"",IF(AND(B221='IN-TC'!$S$4,OR(TH!N221="1111",TH!O221="1111")),TH!D221,""),"")</f>
        <v/>
      </c>
      <c r="B221" s="34">
        <f t="shared" si="9"/>
        <v>2</v>
      </c>
      <c r="C221" s="35">
        <f t="shared" si="10"/>
        <v>42403</v>
      </c>
      <c r="D221" s="212" t="s">
        <v>880</v>
      </c>
      <c r="E221" s="35">
        <v>42403</v>
      </c>
      <c r="F221" s="144" t="s">
        <v>370</v>
      </c>
      <c r="G221" s="191" t="s">
        <v>109</v>
      </c>
      <c r="H221" s="198"/>
      <c r="I221" s="186"/>
      <c r="J221" s="186"/>
      <c r="K221" s="185"/>
      <c r="L221" s="186"/>
      <c r="M221" s="36">
        <v>180000000</v>
      </c>
      <c r="N221" s="37"/>
      <c r="O221" s="37" t="s">
        <v>34</v>
      </c>
      <c r="P221" s="47" t="str">
        <f>IF(AND('331-CT'!$F$5=TH!H221,OR(N221="331",O221="331")),"x","")</f>
        <v/>
      </c>
      <c r="Q221" s="47" t="str">
        <f>IF(AND(B221='111'!$L$11,OR($N221=$Q$7,$O221=$Q$7)),"x","")</f>
        <v/>
      </c>
      <c r="R221" s="47" t="str">
        <f>IF(AND($N221=$Q$7,$B221&lt;'111'!$L$11),"x","")</f>
        <v/>
      </c>
      <c r="S221" s="47" t="str">
        <f>IF(AND($O221=$Q$7,$B221&lt;'111'!$L$11),"x","")</f>
        <v>x</v>
      </c>
    </row>
    <row r="222" spans="1:19" ht="15.75" customHeight="1">
      <c r="A222" s="152" t="str">
        <f>IF(B222&lt;&gt;"",IF(AND(B222='IN-TC'!$S$4,OR(TH!N222="1111",TH!O222="1111")),TH!D222,""),"")</f>
        <v/>
      </c>
      <c r="B222" s="34">
        <f t="shared" si="9"/>
        <v>2</v>
      </c>
      <c r="C222" s="35">
        <f t="shared" si="10"/>
        <v>42403</v>
      </c>
      <c r="D222" s="212" t="s">
        <v>881</v>
      </c>
      <c r="E222" s="35">
        <v>42403</v>
      </c>
      <c r="F222" s="144" t="s">
        <v>371</v>
      </c>
      <c r="G222" s="191" t="s">
        <v>221</v>
      </c>
      <c r="H222" s="198"/>
      <c r="I222" s="186"/>
      <c r="J222" s="186"/>
      <c r="K222" s="185"/>
      <c r="L222" s="186"/>
      <c r="M222" s="36">
        <v>100000000</v>
      </c>
      <c r="N222" s="37"/>
      <c r="O222" s="37" t="s">
        <v>34</v>
      </c>
      <c r="P222" s="47" t="str">
        <f>IF(AND('331-CT'!$F$5=TH!H222,OR(N222="331",O222="331")),"x","")</f>
        <v/>
      </c>
      <c r="Q222" s="47" t="str">
        <f>IF(AND(B222='111'!$L$11,OR($N222=$Q$7,$O222=$Q$7)),"x","")</f>
        <v/>
      </c>
      <c r="R222" s="47" t="str">
        <f>IF(AND($N222=$Q$7,$B222&lt;'111'!$L$11),"x","")</f>
        <v/>
      </c>
      <c r="S222" s="47" t="str">
        <f>IF(AND($O222=$Q$7,$B222&lt;'111'!$L$11),"x","")</f>
        <v>x</v>
      </c>
    </row>
    <row r="223" spans="1:19" ht="15.75" customHeight="1">
      <c r="A223" s="152" t="str">
        <f>IF(B223&lt;&gt;"",IF(AND(B223='IN-TC'!$S$4,OR(TH!N223="1111",TH!O223="1111")),TH!D223,""),"")</f>
        <v/>
      </c>
      <c r="B223" s="34">
        <f t="shared" si="9"/>
        <v>2</v>
      </c>
      <c r="C223" s="35">
        <f t="shared" si="10"/>
        <v>42403</v>
      </c>
      <c r="D223" s="212" t="s">
        <v>882</v>
      </c>
      <c r="E223" s="35">
        <v>42403</v>
      </c>
      <c r="F223" s="144" t="s">
        <v>372</v>
      </c>
      <c r="G223" s="191" t="s">
        <v>105</v>
      </c>
      <c r="H223" s="198" t="s">
        <v>1073</v>
      </c>
      <c r="I223" s="186"/>
      <c r="J223" s="186"/>
      <c r="K223" s="185"/>
      <c r="L223" s="186"/>
      <c r="M223" s="36">
        <v>56000000</v>
      </c>
      <c r="N223" s="37" t="s">
        <v>812</v>
      </c>
      <c r="O223" s="37" t="s">
        <v>34</v>
      </c>
      <c r="P223" s="47" t="str">
        <f>IF(AND('331-CT'!$F$5=TH!H223,OR(N223="331",O223="331")),"x","")</f>
        <v/>
      </c>
      <c r="Q223" s="47" t="str">
        <f>IF(AND(B223='111'!$L$11,OR($N223=$Q$7,$O223=$Q$7)),"x","")</f>
        <v/>
      </c>
      <c r="R223" s="47" t="str">
        <f>IF(AND($N223=$Q$7,$B223&lt;'111'!$L$11),"x","")</f>
        <v/>
      </c>
      <c r="S223" s="47" t="str">
        <f>IF(AND($O223=$Q$7,$B223&lt;'111'!$L$11),"x","")</f>
        <v>x</v>
      </c>
    </row>
    <row r="224" spans="1:19" ht="15.75" customHeight="1">
      <c r="A224" s="152" t="str">
        <f>IF(B224&lt;&gt;"",IF(AND(B224='IN-TC'!$S$4,OR(TH!N224="1111",TH!O224="1111")),TH!D224,""),"")</f>
        <v/>
      </c>
      <c r="B224" s="34">
        <f t="shared" si="9"/>
        <v>2</v>
      </c>
      <c r="C224" s="35">
        <f t="shared" si="10"/>
        <v>42403</v>
      </c>
      <c r="D224" s="212"/>
      <c r="E224" s="35">
        <v>42403</v>
      </c>
      <c r="F224" s="144" t="s">
        <v>1445</v>
      </c>
      <c r="G224" s="191"/>
      <c r="H224" s="198" t="s">
        <v>849</v>
      </c>
      <c r="I224" s="186">
        <v>9318</v>
      </c>
      <c r="J224" s="186">
        <v>2400</v>
      </c>
      <c r="K224" s="185"/>
      <c r="L224" s="186"/>
      <c r="M224" s="36">
        <f>ROUND(I224*J224,0)</f>
        <v>22363200</v>
      </c>
      <c r="N224" s="37" t="s">
        <v>1443</v>
      </c>
      <c r="O224" s="37" t="s">
        <v>8</v>
      </c>
      <c r="P224" s="47" t="str">
        <f>IF(AND('331-CT'!$F$5=TH!H224,OR(N224="331",O224="331")),"x","")</f>
        <v/>
      </c>
      <c r="Q224" s="47" t="str">
        <f>IF(AND(B224='111'!$L$11,OR($N224=$Q$7,$O224=$Q$7)),"x","")</f>
        <v/>
      </c>
      <c r="R224" s="47" t="str">
        <f>IF(AND($N224=$Q$7,$B224&lt;'111'!$L$11),"x","")</f>
        <v/>
      </c>
      <c r="S224" s="47" t="str">
        <f>IF(AND($O224=$Q$7,$B224&lt;'111'!$L$11),"x","")</f>
        <v/>
      </c>
    </row>
    <row r="225" spans="1:19" ht="15.75" customHeight="1">
      <c r="A225" s="152" t="str">
        <f>IF(B225&lt;&gt;"",IF(AND(B225='IN-TC'!$S$4,OR(TH!N225="1111",TH!O225="1111")),TH!D225,""),"")</f>
        <v/>
      </c>
      <c r="B225" s="34">
        <f t="shared" si="9"/>
        <v>2</v>
      </c>
      <c r="C225" s="35">
        <f t="shared" si="10"/>
        <v>42404</v>
      </c>
      <c r="D225" s="212" t="s">
        <v>935</v>
      </c>
      <c r="E225" s="35">
        <v>42404</v>
      </c>
      <c r="F225" s="144" t="s">
        <v>133</v>
      </c>
      <c r="G225" s="191" t="s">
        <v>104</v>
      </c>
      <c r="H225" s="198"/>
      <c r="I225" s="186"/>
      <c r="J225" s="186"/>
      <c r="K225" s="185"/>
      <c r="L225" s="186"/>
      <c r="M225" s="36">
        <v>390000000</v>
      </c>
      <c r="N225" s="37" t="s">
        <v>34</v>
      </c>
      <c r="O225" s="37" t="s">
        <v>1404</v>
      </c>
      <c r="P225" s="47" t="str">
        <f>IF(AND('331-CT'!$F$5=TH!H225,OR(N225="331",O225="331")),"x","")</f>
        <v/>
      </c>
      <c r="Q225" s="47" t="str">
        <f>IF(AND(B225='111'!$L$11,OR($N225=$Q$7,$O225=$Q$7)),"x","")</f>
        <v/>
      </c>
      <c r="R225" s="47" t="str">
        <f>IF(AND($N225=$Q$7,$B225&lt;'111'!$L$11),"x","")</f>
        <v>x</v>
      </c>
      <c r="S225" s="47" t="str">
        <f>IF(AND($O225=$Q$7,$B225&lt;'111'!$L$11),"x","")</f>
        <v/>
      </c>
    </row>
    <row r="226" spans="1:19" ht="15.75" customHeight="1">
      <c r="A226" s="152" t="str">
        <f>IF(B226&lt;&gt;"",IF(AND(B226='IN-TC'!$S$4,OR(TH!N226="1111",TH!O226="1111")),TH!D226,""),"")</f>
        <v/>
      </c>
      <c r="B226" s="34">
        <f t="shared" si="9"/>
        <v>2</v>
      </c>
      <c r="C226" s="35">
        <f t="shared" si="10"/>
        <v>42404</v>
      </c>
      <c r="D226" s="212" t="s">
        <v>936</v>
      </c>
      <c r="E226" s="35">
        <v>42404</v>
      </c>
      <c r="F226" s="144" t="s">
        <v>134</v>
      </c>
      <c r="G226" s="191" t="s">
        <v>105</v>
      </c>
      <c r="H226" s="198" t="s">
        <v>1413</v>
      </c>
      <c r="I226" s="186"/>
      <c r="J226" s="186"/>
      <c r="K226" s="185"/>
      <c r="L226" s="186"/>
      <c r="M226" s="36">
        <v>900000000</v>
      </c>
      <c r="N226" s="37" t="s">
        <v>34</v>
      </c>
      <c r="O226" s="37" t="s">
        <v>812</v>
      </c>
      <c r="P226" s="47" t="str">
        <f>IF(AND('331-CT'!$F$5=TH!H226,OR(N226="331",O226="331")),"x","")</f>
        <v/>
      </c>
      <c r="Q226" s="47" t="str">
        <f>IF(AND(B226='111'!$L$11,OR($N226=$Q$7,$O226=$Q$7)),"x","")</f>
        <v/>
      </c>
      <c r="R226" s="47" t="str">
        <f>IF(AND($N226=$Q$7,$B226&lt;'111'!$L$11),"x","")</f>
        <v>x</v>
      </c>
      <c r="S226" s="47" t="str">
        <f>IF(AND($O226=$Q$7,$B226&lt;'111'!$L$11),"x","")</f>
        <v/>
      </c>
    </row>
    <row r="227" spans="1:19" ht="15.75" customHeight="1">
      <c r="A227" s="152" t="str">
        <f>IF(B227&lt;&gt;"",IF(AND(B227='IN-TC'!$S$4,OR(TH!N227="1111",TH!O227="1111")),TH!D227,""),"")</f>
        <v/>
      </c>
      <c r="B227" s="34">
        <f t="shared" si="9"/>
        <v>2</v>
      </c>
      <c r="C227" s="35">
        <f t="shared" si="10"/>
        <v>42404</v>
      </c>
      <c r="D227" s="212" t="s">
        <v>937</v>
      </c>
      <c r="E227" s="35">
        <v>42404</v>
      </c>
      <c r="F227" s="144" t="s">
        <v>135</v>
      </c>
      <c r="G227" s="191" t="s">
        <v>105</v>
      </c>
      <c r="H227" s="198" t="s">
        <v>1414</v>
      </c>
      <c r="I227" s="186"/>
      <c r="J227" s="186"/>
      <c r="K227" s="185"/>
      <c r="L227" s="186"/>
      <c r="M227" s="36">
        <v>200000000</v>
      </c>
      <c r="N227" s="37" t="s">
        <v>34</v>
      </c>
      <c r="O227" s="37" t="s">
        <v>812</v>
      </c>
      <c r="P227" s="47" t="str">
        <f>IF(AND('331-CT'!$F$5=TH!H227,OR(N227="331",O227="331")),"x","")</f>
        <v/>
      </c>
      <c r="Q227" s="47" t="str">
        <f>IF(AND(B227='111'!$L$11,OR($N227=$Q$7,$O227=$Q$7)),"x","")</f>
        <v/>
      </c>
      <c r="R227" s="47" t="str">
        <f>IF(AND($N227=$Q$7,$B227&lt;'111'!$L$11),"x","")</f>
        <v>x</v>
      </c>
      <c r="S227" s="47" t="str">
        <f>IF(AND($O227=$Q$7,$B227&lt;'111'!$L$11),"x","")</f>
        <v/>
      </c>
    </row>
    <row r="228" spans="1:19" ht="15.75" customHeight="1">
      <c r="A228" s="152" t="str">
        <f>IF(B228&lt;&gt;"",IF(AND(B228='IN-TC'!$S$4,OR(TH!N228="1111",TH!O228="1111")),TH!D228,""),"")</f>
        <v/>
      </c>
      <c r="B228" s="34">
        <f t="shared" si="9"/>
        <v>2</v>
      </c>
      <c r="C228" s="35">
        <f t="shared" si="10"/>
        <v>42404</v>
      </c>
      <c r="D228" s="212" t="s">
        <v>883</v>
      </c>
      <c r="E228" s="35">
        <v>42404</v>
      </c>
      <c r="F228" s="144" t="s">
        <v>373</v>
      </c>
      <c r="G228" s="191" t="s">
        <v>207</v>
      </c>
      <c r="H228" s="198"/>
      <c r="I228" s="186"/>
      <c r="J228" s="186"/>
      <c r="K228" s="185"/>
      <c r="L228" s="186"/>
      <c r="M228" s="36">
        <v>11000000</v>
      </c>
      <c r="N228" s="37"/>
      <c r="O228" s="37" t="s">
        <v>34</v>
      </c>
      <c r="P228" s="47" t="str">
        <f>IF(AND('331-CT'!$F$5=TH!H228,OR(N228="331",O228="331")),"x","")</f>
        <v/>
      </c>
      <c r="Q228" s="47" t="str">
        <f>IF(AND(B228='111'!$L$11,OR($N228=$Q$7,$O228=$Q$7)),"x","")</f>
        <v/>
      </c>
      <c r="R228" s="47" t="str">
        <f>IF(AND($N228=$Q$7,$B228&lt;'111'!$L$11),"x","")</f>
        <v/>
      </c>
      <c r="S228" s="47" t="str">
        <f>IF(AND($O228=$Q$7,$B228&lt;'111'!$L$11),"x","")</f>
        <v>x</v>
      </c>
    </row>
    <row r="229" spans="1:19" ht="15.75" customHeight="1">
      <c r="A229" s="152" t="str">
        <f>IF(B229&lt;&gt;"",IF(AND(B229='IN-TC'!$S$4,OR(TH!N229="1111",TH!O229="1111")),TH!D229,""),"")</f>
        <v/>
      </c>
      <c r="B229" s="34">
        <f t="shared" si="9"/>
        <v>2</v>
      </c>
      <c r="C229" s="35">
        <f t="shared" si="10"/>
        <v>42404</v>
      </c>
      <c r="D229" s="212" t="s">
        <v>884</v>
      </c>
      <c r="E229" s="35">
        <v>42404</v>
      </c>
      <c r="F229" s="144" t="s">
        <v>374</v>
      </c>
      <c r="G229" s="191" t="s">
        <v>202</v>
      </c>
      <c r="H229" s="198"/>
      <c r="I229" s="186"/>
      <c r="J229" s="186"/>
      <c r="K229" s="185"/>
      <c r="L229" s="186"/>
      <c r="M229" s="36">
        <v>500000</v>
      </c>
      <c r="N229" s="37"/>
      <c r="O229" s="37" t="s">
        <v>34</v>
      </c>
      <c r="P229" s="47" t="str">
        <f>IF(AND('331-CT'!$F$5=TH!H229,OR(N229="331",O229="331")),"x","")</f>
        <v/>
      </c>
      <c r="Q229" s="47" t="str">
        <f>IF(AND(B229='111'!$L$11,OR($N229=$Q$7,$O229=$Q$7)),"x","")</f>
        <v/>
      </c>
      <c r="R229" s="47" t="str">
        <f>IF(AND($N229=$Q$7,$B229&lt;'111'!$L$11),"x","")</f>
        <v/>
      </c>
      <c r="S229" s="47" t="str">
        <f>IF(AND($O229=$Q$7,$B229&lt;'111'!$L$11),"x","")</f>
        <v>x</v>
      </c>
    </row>
    <row r="230" spans="1:19" ht="15.75" customHeight="1">
      <c r="A230" s="152" t="str">
        <f>IF(B230&lt;&gt;"",IF(AND(B230='IN-TC'!$S$4,OR(TH!N230="1111",TH!O230="1111")),TH!D230,""),"")</f>
        <v/>
      </c>
      <c r="B230" s="34">
        <f t="shared" si="9"/>
        <v>2</v>
      </c>
      <c r="C230" s="35">
        <f t="shared" si="10"/>
        <v>42404</v>
      </c>
      <c r="D230" s="212" t="s">
        <v>885</v>
      </c>
      <c r="E230" s="35">
        <v>42404</v>
      </c>
      <c r="F230" s="144" t="s">
        <v>375</v>
      </c>
      <c r="G230" s="191" t="s">
        <v>212</v>
      </c>
      <c r="H230" s="198"/>
      <c r="I230" s="186"/>
      <c r="J230" s="186"/>
      <c r="K230" s="185"/>
      <c r="L230" s="186"/>
      <c r="M230" s="36">
        <v>545415000</v>
      </c>
      <c r="N230" s="37"/>
      <c r="O230" s="37" t="s">
        <v>34</v>
      </c>
      <c r="P230" s="47" t="str">
        <f>IF(AND('331-CT'!$F$5=TH!H230,OR(N230="331",O230="331")),"x","")</f>
        <v/>
      </c>
      <c r="Q230" s="47" t="str">
        <f>IF(AND(B230='111'!$L$11,OR($N230=$Q$7,$O230=$Q$7)),"x","")</f>
        <v/>
      </c>
      <c r="R230" s="47" t="str">
        <f>IF(AND($N230=$Q$7,$B230&lt;'111'!$L$11),"x","")</f>
        <v/>
      </c>
      <c r="S230" s="47" t="str">
        <f>IF(AND($O230=$Q$7,$B230&lt;'111'!$L$11),"x","")</f>
        <v>x</v>
      </c>
    </row>
    <row r="231" spans="1:19" ht="15.75" customHeight="1">
      <c r="A231" s="152" t="str">
        <f>IF(B231&lt;&gt;"",IF(AND(B231='IN-TC'!$S$4,OR(TH!N231="1111",TH!O231="1111")),TH!D231,""),"")</f>
        <v/>
      </c>
      <c r="B231" s="34">
        <f t="shared" si="9"/>
        <v>2</v>
      </c>
      <c r="C231" s="35">
        <f t="shared" si="10"/>
        <v>42404</v>
      </c>
      <c r="D231" s="212" t="s">
        <v>886</v>
      </c>
      <c r="E231" s="35">
        <v>42404</v>
      </c>
      <c r="F231" s="144" t="s">
        <v>376</v>
      </c>
      <c r="G231" s="191" t="s">
        <v>202</v>
      </c>
      <c r="H231" s="198"/>
      <c r="I231" s="186"/>
      <c r="J231" s="186"/>
      <c r="K231" s="185"/>
      <c r="L231" s="186"/>
      <c r="M231" s="36">
        <v>16500000</v>
      </c>
      <c r="N231" s="37"/>
      <c r="O231" s="37" t="s">
        <v>34</v>
      </c>
      <c r="P231" s="47" t="str">
        <f>IF(AND('331-CT'!$F$5=TH!H231,OR(N231="331",O231="331")),"x","")</f>
        <v/>
      </c>
      <c r="Q231" s="47" t="str">
        <f>IF(AND(B231='111'!$L$11,OR($N231=$Q$7,$O231=$Q$7)),"x","")</f>
        <v/>
      </c>
      <c r="R231" s="47" t="str">
        <f>IF(AND($N231=$Q$7,$B231&lt;'111'!$L$11),"x","")</f>
        <v/>
      </c>
      <c r="S231" s="47" t="str">
        <f>IF(AND($O231=$Q$7,$B231&lt;'111'!$L$11),"x","")</f>
        <v>x</v>
      </c>
    </row>
    <row r="232" spans="1:19" ht="15.75" customHeight="1">
      <c r="A232" s="152" t="str">
        <f>IF(B232&lt;&gt;"",IF(AND(B232='IN-TC'!$S$4,OR(TH!N232="1111",TH!O232="1111")),TH!D232,""),"")</f>
        <v/>
      </c>
      <c r="B232" s="34">
        <f t="shared" si="9"/>
        <v>2</v>
      </c>
      <c r="C232" s="35">
        <f t="shared" si="10"/>
        <v>42404</v>
      </c>
      <c r="D232" s="212" t="s">
        <v>887</v>
      </c>
      <c r="E232" s="35">
        <v>42404</v>
      </c>
      <c r="F232" s="144" t="s">
        <v>377</v>
      </c>
      <c r="G232" s="191" t="s">
        <v>111</v>
      </c>
      <c r="H232" s="198"/>
      <c r="I232" s="186"/>
      <c r="J232" s="186"/>
      <c r="K232" s="185"/>
      <c r="L232" s="186"/>
      <c r="M232" s="36">
        <v>15090000</v>
      </c>
      <c r="N232" s="37"/>
      <c r="O232" s="37" t="s">
        <v>34</v>
      </c>
      <c r="P232" s="47" t="str">
        <f>IF(AND('331-CT'!$F$5=TH!H232,OR(N232="331",O232="331")),"x","")</f>
        <v/>
      </c>
      <c r="Q232" s="47" t="str">
        <f>IF(AND(B232='111'!$L$11,OR($N232=$Q$7,$O232=$Q$7)),"x","")</f>
        <v/>
      </c>
      <c r="R232" s="47" t="str">
        <f>IF(AND($N232=$Q$7,$B232&lt;'111'!$L$11),"x","")</f>
        <v/>
      </c>
      <c r="S232" s="47" t="str">
        <f>IF(AND($O232=$Q$7,$B232&lt;'111'!$L$11),"x","")</f>
        <v>x</v>
      </c>
    </row>
    <row r="233" spans="1:19" ht="15.75" customHeight="1">
      <c r="A233" s="152" t="str">
        <f>IF(B233&lt;&gt;"",IF(AND(B233='IN-TC'!$S$4,OR(TH!N233="1111",TH!O233="1111")),TH!D233,""),"")</f>
        <v/>
      </c>
      <c r="B233" s="34">
        <f t="shared" si="9"/>
        <v>2</v>
      </c>
      <c r="C233" s="35">
        <f t="shared" si="10"/>
        <v>42404</v>
      </c>
      <c r="D233" s="212" t="s">
        <v>888</v>
      </c>
      <c r="E233" s="35">
        <v>42404</v>
      </c>
      <c r="F233" s="144" t="s">
        <v>378</v>
      </c>
      <c r="G233" s="191" t="s">
        <v>204</v>
      </c>
      <c r="H233" s="198"/>
      <c r="I233" s="186"/>
      <c r="J233" s="186"/>
      <c r="K233" s="185"/>
      <c r="L233" s="186"/>
      <c r="M233" s="36">
        <v>15000000</v>
      </c>
      <c r="N233" s="37"/>
      <c r="O233" s="37" t="s">
        <v>34</v>
      </c>
      <c r="P233" s="47" t="str">
        <f>IF(AND('331-CT'!$F$5=TH!H233,OR(N233="331",O233="331")),"x","")</f>
        <v/>
      </c>
      <c r="Q233" s="47" t="str">
        <f>IF(AND(B233='111'!$L$11,OR($N233=$Q$7,$O233=$Q$7)),"x","")</f>
        <v/>
      </c>
      <c r="R233" s="47" t="str">
        <f>IF(AND($N233=$Q$7,$B233&lt;'111'!$L$11),"x","")</f>
        <v/>
      </c>
      <c r="S233" s="47" t="str">
        <f>IF(AND($O233=$Q$7,$B233&lt;'111'!$L$11),"x","")</f>
        <v>x</v>
      </c>
    </row>
    <row r="234" spans="1:19" ht="15.75" customHeight="1">
      <c r="A234" s="152" t="str">
        <f>IF(B234&lt;&gt;"",IF(AND(B234='IN-TC'!$S$4,OR(TH!N234="1111",TH!O234="1111")),TH!D234,""),"")</f>
        <v/>
      </c>
      <c r="B234" s="34">
        <f t="shared" si="9"/>
        <v>2</v>
      </c>
      <c r="C234" s="35">
        <f t="shared" si="10"/>
        <v>42404</v>
      </c>
      <c r="D234" s="212" t="s">
        <v>889</v>
      </c>
      <c r="E234" s="35">
        <v>42404</v>
      </c>
      <c r="F234" s="144" t="s">
        <v>379</v>
      </c>
      <c r="G234" s="191" t="s">
        <v>111</v>
      </c>
      <c r="H234" s="198"/>
      <c r="I234" s="186"/>
      <c r="J234" s="186"/>
      <c r="K234" s="185"/>
      <c r="L234" s="186"/>
      <c r="M234" s="36">
        <v>46000000</v>
      </c>
      <c r="N234" s="37"/>
      <c r="O234" s="37" t="s">
        <v>34</v>
      </c>
      <c r="P234" s="47" t="str">
        <f>IF(AND('331-CT'!$F$5=TH!H234,OR(N234="331",O234="331")),"x","")</f>
        <v/>
      </c>
      <c r="Q234" s="47" t="str">
        <f>IF(AND(B234='111'!$L$11,OR($N234=$Q$7,$O234=$Q$7)),"x","")</f>
        <v/>
      </c>
      <c r="R234" s="47" t="str">
        <f>IF(AND($N234=$Q$7,$B234&lt;'111'!$L$11),"x","")</f>
        <v/>
      </c>
      <c r="S234" s="47" t="str">
        <f>IF(AND($O234=$Q$7,$B234&lt;'111'!$L$11),"x","")</f>
        <v>x</v>
      </c>
    </row>
    <row r="235" spans="1:19" ht="15.75" customHeight="1">
      <c r="A235" s="152" t="str">
        <f>IF(B235&lt;&gt;"",IF(AND(B235='IN-TC'!$S$4,OR(TH!N235="1111",TH!O235="1111")),TH!D235,""),"")</f>
        <v/>
      </c>
      <c r="B235" s="34">
        <f t="shared" si="9"/>
        <v>2</v>
      </c>
      <c r="C235" s="35">
        <f t="shared" si="10"/>
        <v>42404</v>
      </c>
      <c r="D235" s="212" t="s">
        <v>890</v>
      </c>
      <c r="E235" s="35">
        <v>42404</v>
      </c>
      <c r="F235" s="144" t="s">
        <v>380</v>
      </c>
      <c r="G235" s="191" t="s">
        <v>109</v>
      </c>
      <c r="H235" s="198"/>
      <c r="I235" s="186"/>
      <c r="J235" s="186"/>
      <c r="K235" s="185"/>
      <c r="L235" s="186"/>
      <c r="M235" s="36">
        <v>200000000</v>
      </c>
      <c r="N235" s="37"/>
      <c r="O235" s="37" t="s">
        <v>34</v>
      </c>
      <c r="P235" s="47" t="str">
        <f>IF(AND('331-CT'!$F$5=TH!H235,OR(N235="331",O235="331")),"x","")</f>
        <v/>
      </c>
      <c r="Q235" s="47" t="str">
        <f>IF(AND(B235='111'!$L$11,OR($N235=$Q$7,$O235=$Q$7)),"x","")</f>
        <v/>
      </c>
      <c r="R235" s="47" t="str">
        <f>IF(AND($N235=$Q$7,$B235&lt;'111'!$L$11),"x","")</f>
        <v/>
      </c>
      <c r="S235" s="47" t="str">
        <f>IF(AND($O235=$Q$7,$B235&lt;'111'!$L$11),"x","")</f>
        <v>x</v>
      </c>
    </row>
    <row r="236" spans="1:19" ht="15.75" customHeight="1">
      <c r="A236" s="152" t="str">
        <f>IF(B236&lt;&gt;"",IF(AND(B236='IN-TC'!$S$4,OR(TH!N236="1111",TH!O236="1111")),TH!D236,""),"")</f>
        <v/>
      </c>
      <c r="B236" s="34">
        <f t="shared" si="9"/>
        <v>2</v>
      </c>
      <c r="C236" s="35">
        <f t="shared" si="10"/>
        <v>42404</v>
      </c>
      <c r="D236" s="212" t="s">
        <v>891</v>
      </c>
      <c r="E236" s="35">
        <v>42404</v>
      </c>
      <c r="F236" s="144" t="s">
        <v>381</v>
      </c>
      <c r="G236" s="191" t="s">
        <v>202</v>
      </c>
      <c r="H236" s="198"/>
      <c r="I236" s="186"/>
      <c r="J236" s="186"/>
      <c r="K236" s="185"/>
      <c r="L236" s="186"/>
      <c r="M236" s="36">
        <v>20000000</v>
      </c>
      <c r="N236" s="37"/>
      <c r="O236" s="37" t="s">
        <v>34</v>
      </c>
      <c r="P236" s="47" t="str">
        <f>IF(AND('331-CT'!$F$5=TH!H236,OR(N236="331",O236="331")),"x","")</f>
        <v/>
      </c>
      <c r="Q236" s="47" t="str">
        <f>IF(AND(B236='111'!$L$11,OR($N236=$Q$7,$O236=$Q$7)),"x","")</f>
        <v/>
      </c>
      <c r="R236" s="47" t="str">
        <f>IF(AND($N236=$Q$7,$B236&lt;'111'!$L$11),"x","")</f>
        <v/>
      </c>
      <c r="S236" s="47" t="str">
        <f>IF(AND($O236=$Q$7,$B236&lt;'111'!$L$11),"x","")</f>
        <v>x</v>
      </c>
    </row>
    <row r="237" spans="1:19" ht="15.75" customHeight="1">
      <c r="A237" s="152" t="str">
        <f>IF(B237&lt;&gt;"",IF(AND(B237='IN-TC'!$S$4,OR(TH!N237="1111",TH!O237="1111")),TH!D237,""),"")</f>
        <v/>
      </c>
      <c r="B237" s="34">
        <f t="shared" si="9"/>
        <v>2</v>
      </c>
      <c r="C237" s="35">
        <f t="shared" si="10"/>
        <v>42404</v>
      </c>
      <c r="D237" s="212" t="s">
        <v>892</v>
      </c>
      <c r="E237" s="35">
        <v>42404</v>
      </c>
      <c r="F237" s="144" t="s">
        <v>382</v>
      </c>
      <c r="G237" s="191" t="s">
        <v>206</v>
      </c>
      <c r="H237" s="198" t="s">
        <v>848</v>
      </c>
      <c r="I237" s="186"/>
      <c r="J237" s="186"/>
      <c r="K237" s="185"/>
      <c r="L237" s="186"/>
      <c r="M237" s="36">
        <v>150000000</v>
      </c>
      <c r="N237" s="37" t="s">
        <v>8</v>
      </c>
      <c r="O237" s="37" t="s">
        <v>34</v>
      </c>
      <c r="P237" s="47" t="str">
        <f>IF(AND('331-CT'!$F$5=TH!H237,OR(N237="331",O237="331")),"x","")</f>
        <v/>
      </c>
      <c r="Q237" s="47" t="str">
        <f>IF(AND(B237='111'!$L$11,OR($N237=$Q$7,$O237=$Q$7)),"x","")</f>
        <v/>
      </c>
      <c r="R237" s="47" t="str">
        <f>IF(AND($N237=$Q$7,$B237&lt;'111'!$L$11),"x","")</f>
        <v/>
      </c>
      <c r="S237" s="47" t="str">
        <f>IF(AND($O237=$Q$7,$B237&lt;'111'!$L$11),"x","")</f>
        <v>x</v>
      </c>
    </row>
    <row r="238" spans="1:19" ht="15.75" customHeight="1">
      <c r="A238" s="152" t="str">
        <f>IF(B238&lt;&gt;"",IF(AND(B238='IN-TC'!$S$4,OR(TH!N238="1111",TH!O238="1111")),TH!D238,""),"")</f>
        <v/>
      </c>
      <c r="B238" s="34">
        <f t="shared" si="9"/>
        <v>2</v>
      </c>
      <c r="C238" s="35">
        <f t="shared" si="10"/>
        <v>42404</v>
      </c>
      <c r="D238" s="212" t="s">
        <v>892</v>
      </c>
      <c r="E238" s="35">
        <v>42404</v>
      </c>
      <c r="F238" s="144" t="s">
        <v>1424</v>
      </c>
      <c r="G238" s="191"/>
      <c r="H238" s="198"/>
      <c r="I238" s="186"/>
      <c r="J238" s="186"/>
      <c r="K238" s="185"/>
      <c r="L238" s="186"/>
      <c r="M238" s="36">
        <v>45000</v>
      </c>
      <c r="N238" s="37" t="s">
        <v>1425</v>
      </c>
      <c r="O238" s="37" t="s">
        <v>34</v>
      </c>
      <c r="P238" s="47" t="str">
        <f>IF(AND('331-CT'!$F$5=TH!H238,OR(N238="331",O238="331")),"x","")</f>
        <v/>
      </c>
      <c r="Q238" s="47" t="str">
        <f>IF(AND(B238='111'!$L$11,OR($N238=$Q$7,$O238=$Q$7)),"x","")</f>
        <v/>
      </c>
      <c r="R238" s="47" t="str">
        <f>IF(AND($N238=$Q$7,$B238&lt;'111'!$L$11),"x","")</f>
        <v/>
      </c>
      <c r="S238" s="47" t="str">
        <f>IF(AND($O238=$Q$7,$B238&lt;'111'!$L$11),"x","")</f>
        <v>x</v>
      </c>
    </row>
    <row r="239" spans="1:19" ht="15.75" customHeight="1">
      <c r="A239" s="152" t="str">
        <f>IF(B239&lt;&gt;"",IF(AND(B239='IN-TC'!$S$4,OR(TH!N239="1111",TH!O239="1111")),TH!D239,""),"")</f>
        <v/>
      </c>
      <c r="B239" s="34">
        <f t="shared" si="9"/>
        <v>2</v>
      </c>
      <c r="C239" s="35">
        <f t="shared" si="10"/>
        <v>42404</v>
      </c>
      <c r="D239" s="212" t="s">
        <v>893</v>
      </c>
      <c r="E239" s="35">
        <v>42404</v>
      </c>
      <c r="F239" s="144" t="s">
        <v>383</v>
      </c>
      <c r="G239" s="191" t="s">
        <v>208</v>
      </c>
      <c r="H239" s="198"/>
      <c r="I239" s="186"/>
      <c r="J239" s="186"/>
      <c r="K239" s="185"/>
      <c r="L239" s="186"/>
      <c r="M239" s="36">
        <v>5378000</v>
      </c>
      <c r="N239" s="37"/>
      <c r="O239" s="37" t="s">
        <v>34</v>
      </c>
      <c r="P239" s="47" t="str">
        <f>IF(AND('331-CT'!$F$5=TH!H239,OR(N239="331",O239="331")),"x","")</f>
        <v/>
      </c>
      <c r="Q239" s="47" t="str">
        <f>IF(AND(B239='111'!$L$11,OR($N239=$Q$7,$O239=$Q$7)),"x","")</f>
        <v/>
      </c>
      <c r="R239" s="47" t="str">
        <f>IF(AND($N239=$Q$7,$B239&lt;'111'!$L$11),"x","")</f>
        <v/>
      </c>
      <c r="S239" s="47" t="str">
        <f>IF(AND($O239=$Q$7,$B239&lt;'111'!$L$11),"x","")</f>
        <v>x</v>
      </c>
    </row>
    <row r="240" spans="1:19" ht="15.75" customHeight="1">
      <c r="A240" s="152" t="str">
        <f>IF(B240&lt;&gt;"",IF(AND(B240='IN-TC'!$S$4,OR(TH!N240="1111",TH!O240="1111")),TH!D240,""),"")</f>
        <v/>
      </c>
      <c r="B240" s="34">
        <f t="shared" si="9"/>
        <v>2</v>
      </c>
      <c r="C240" s="35">
        <f t="shared" si="10"/>
        <v>42404</v>
      </c>
      <c r="D240" s="212" t="s">
        <v>894</v>
      </c>
      <c r="E240" s="35">
        <v>42404</v>
      </c>
      <c r="F240" s="144" t="s">
        <v>384</v>
      </c>
      <c r="G240" s="191" t="s">
        <v>204</v>
      </c>
      <c r="H240" s="198"/>
      <c r="I240" s="186"/>
      <c r="J240" s="186"/>
      <c r="K240" s="185"/>
      <c r="L240" s="186"/>
      <c r="M240" s="36">
        <v>450000000</v>
      </c>
      <c r="N240" s="37"/>
      <c r="O240" s="37" t="s">
        <v>34</v>
      </c>
      <c r="P240" s="47" t="str">
        <f>IF(AND('331-CT'!$F$5=TH!H240,OR(N240="331",O240="331")),"x","")</f>
        <v/>
      </c>
      <c r="Q240" s="47" t="str">
        <f>IF(AND(B240='111'!$L$11,OR($N240=$Q$7,$O240=$Q$7)),"x","")</f>
        <v/>
      </c>
      <c r="R240" s="47" t="str">
        <f>IF(AND($N240=$Q$7,$B240&lt;'111'!$L$11),"x","")</f>
        <v/>
      </c>
      <c r="S240" s="47" t="str">
        <f>IF(AND($O240=$Q$7,$B240&lt;'111'!$L$11),"x","")</f>
        <v>x</v>
      </c>
    </row>
    <row r="241" spans="1:19" ht="15.75" customHeight="1">
      <c r="A241" s="152" t="str">
        <f>IF(B241&lt;&gt;"",IF(AND(B241='IN-TC'!$S$4,OR(TH!N241="1111",TH!O241="1111")),TH!D241,""),"")</f>
        <v/>
      </c>
      <c r="B241" s="34">
        <f t="shared" si="9"/>
        <v>2</v>
      </c>
      <c r="C241" s="35">
        <f t="shared" si="10"/>
        <v>42404</v>
      </c>
      <c r="D241" s="212" t="s">
        <v>895</v>
      </c>
      <c r="E241" s="35">
        <v>42404</v>
      </c>
      <c r="F241" s="144" t="s">
        <v>385</v>
      </c>
      <c r="G241" s="191" t="s">
        <v>204</v>
      </c>
      <c r="H241" s="198"/>
      <c r="I241" s="186"/>
      <c r="J241" s="186"/>
      <c r="K241" s="185"/>
      <c r="L241" s="186"/>
      <c r="M241" s="36">
        <v>62000000</v>
      </c>
      <c r="N241" s="37"/>
      <c r="O241" s="37" t="s">
        <v>34</v>
      </c>
      <c r="P241" s="47" t="str">
        <f>IF(AND('331-CT'!$F$5=TH!H241,OR(N241="331",O241="331")),"x","")</f>
        <v/>
      </c>
      <c r="Q241" s="47" t="str">
        <f>IF(AND(B241='111'!$L$11,OR($N241=$Q$7,$O241=$Q$7)),"x","")</f>
        <v/>
      </c>
      <c r="R241" s="47" t="str">
        <f>IF(AND($N241=$Q$7,$B241&lt;'111'!$L$11),"x","")</f>
        <v/>
      </c>
      <c r="S241" s="47" t="str">
        <f>IF(AND($O241=$Q$7,$B241&lt;'111'!$L$11),"x","")</f>
        <v>x</v>
      </c>
    </row>
    <row r="242" spans="1:19" ht="15.75" customHeight="1">
      <c r="A242" s="152" t="str">
        <f>IF(B242&lt;&gt;"",IF(AND(B242='IN-TC'!$S$4,OR(TH!N242="1111",TH!O242="1111")),TH!D242,""),"")</f>
        <v/>
      </c>
      <c r="B242" s="34">
        <f t="shared" si="9"/>
        <v>2</v>
      </c>
      <c r="C242" s="35">
        <f t="shared" si="10"/>
        <v>42404</v>
      </c>
      <c r="D242" s="212" t="s">
        <v>896</v>
      </c>
      <c r="E242" s="35">
        <v>42404</v>
      </c>
      <c r="F242" s="144" t="s">
        <v>386</v>
      </c>
      <c r="G242" s="191" t="s">
        <v>212</v>
      </c>
      <c r="H242" s="198"/>
      <c r="I242" s="186"/>
      <c r="J242" s="186"/>
      <c r="K242" s="185"/>
      <c r="L242" s="186"/>
      <c r="M242" s="36">
        <v>10000000</v>
      </c>
      <c r="N242" s="37"/>
      <c r="O242" s="37" t="s">
        <v>34</v>
      </c>
      <c r="P242" s="47" t="str">
        <f>IF(AND('331-CT'!$F$5=TH!H242,OR(N242="331",O242="331")),"x","")</f>
        <v/>
      </c>
      <c r="Q242" s="47" t="str">
        <f>IF(AND(B242='111'!$L$11,OR($N242=$Q$7,$O242=$Q$7)),"x","")</f>
        <v/>
      </c>
      <c r="R242" s="47" t="str">
        <f>IF(AND($N242=$Q$7,$B242&lt;'111'!$L$11),"x","")</f>
        <v/>
      </c>
      <c r="S242" s="47" t="str">
        <f>IF(AND($O242=$Q$7,$B242&lt;'111'!$L$11),"x","")</f>
        <v>x</v>
      </c>
    </row>
    <row r="243" spans="1:19" ht="15.75" customHeight="1">
      <c r="A243" s="152" t="str">
        <f>IF(B243&lt;&gt;"",IF(AND(B243='IN-TC'!$S$4,OR(TH!N243="1111",TH!O243="1111")),TH!D243,""),"")</f>
        <v/>
      </c>
      <c r="B243" s="34">
        <f t="shared" si="9"/>
        <v>2</v>
      </c>
      <c r="C243" s="35">
        <f t="shared" si="10"/>
        <v>42404</v>
      </c>
      <c r="D243" s="212" t="s">
        <v>897</v>
      </c>
      <c r="E243" s="35">
        <v>42404</v>
      </c>
      <c r="F243" s="144" t="s">
        <v>387</v>
      </c>
      <c r="G243" s="191"/>
      <c r="H243" s="198"/>
      <c r="I243" s="186"/>
      <c r="J243" s="186"/>
      <c r="K243" s="185"/>
      <c r="L243" s="186"/>
      <c r="M243" s="36">
        <v>5000000</v>
      </c>
      <c r="N243" s="37"/>
      <c r="O243" s="37" t="s">
        <v>34</v>
      </c>
      <c r="P243" s="47" t="str">
        <f>IF(AND('331-CT'!$F$5=TH!H243,OR(N243="331",O243="331")),"x","")</f>
        <v/>
      </c>
      <c r="Q243" s="47" t="str">
        <f>IF(AND(B243='111'!$L$11,OR($N243=$Q$7,$O243=$Q$7)),"x","")</f>
        <v/>
      </c>
      <c r="R243" s="47" t="str">
        <f>IF(AND($N243=$Q$7,$B243&lt;'111'!$L$11),"x","")</f>
        <v/>
      </c>
      <c r="S243" s="47" t="str">
        <f>IF(AND($O243=$Q$7,$B243&lt;'111'!$L$11),"x","")</f>
        <v>x</v>
      </c>
    </row>
    <row r="244" spans="1:19" ht="15.75" customHeight="1">
      <c r="A244" s="152" t="str">
        <f>IF(B244&lt;&gt;"",IF(AND(B244='IN-TC'!$S$4,OR(TH!N244="1111",TH!O244="1111")),TH!D244,""),"")</f>
        <v/>
      </c>
      <c r="B244" s="34">
        <f t="shared" si="9"/>
        <v>2</v>
      </c>
      <c r="C244" s="35">
        <f t="shared" si="10"/>
        <v>42404</v>
      </c>
      <c r="D244" s="212" t="s">
        <v>898</v>
      </c>
      <c r="E244" s="35">
        <v>42404</v>
      </c>
      <c r="F244" s="144" t="s">
        <v>388</v>
      </c>
      <c r="G244" s="191" t="s">
        <v>210</v>
      </c>
      <c r="H244" s="198"/>
      <c r="I244" s="186"/>
      <c r="J244" s="186"/>
      <c r="K244" s="185"/>
      <c r="L244" s="186"/>
      <c r="M244" s="36">
        <v>16500000</v>
      </c>
      <c r="N244" s="37"/>
      <c r="O244" s="37" t="s">
        <v>34</v>
      </c>
      <c r="P244" s="47" t="str">
        <f>IF(AND('331-CT'!$F$5=TH!H244,OR(N244="331",O244="331")),"x","")</f>
        <v/>
      </c>
      <c r="Q244" s="47" t="str">
        <f>IF(AND(B244='111'!$L$11,OR($N244=$Q$7,$O244=$Q$7)),"x","")</f>
        <v/>
      </c>
      <c r="R244" s="47" t="str">
        <f>IF(AND($N244=$Q$7,$B244&lt;'111'!$L$11),"x","")</f>
        <v/>
      </c>
      <c r="S244" s="47" t="str">
        <f>IF(AND($O244=$Q$7,$B244&lt;'111'!$L$11),"x","")</f>
        <v>x</v>
      </c>
    </row>
    <row r="245" spans="1:19" ht="15.75" customHeight="1">
      <c r="A245" s="152" t="str">
        <f>IF(B245&lt;&gt;"",IF(AND(B245='IN-TC'!$S$4,OR(TH!N245="1111",TH!O245="1111")),TH!D245,""),"")</f>
        <v/>
      </c>
      <c r="B245" s="34">
        <f t="shared" si="9"/>
        <v>2</v>
      </c>
      <c r="C245" s="35">
        <f t="shared" si="10"/>
        <v>42405</v>
      </c>
      <c r="D245" s="212" t="s">
        <v>899</v>
      </c>
      <c r="E245" s="35">
        <v>42405</v>
      </c>
      <c r="F245" s="144" t="s">
        <v>389</v>
      </c>
      <c r="G245" s="191" t="s">
        <v>202</v>
      </c>
      <c r="H245" s="198"/>
      <c r="I245" s="186"/>
      <c r="J245" s="186"/>
      <c r="K245" s="185"/>
      <c r="L245" s="186"/>
      <c r="M245" s="36">
        <v>40000000</v>
      </c>
      <c r="N245" s="37"/>
      <c r="O245" s="37" t="s">
        <v>34</v>
      </c>
      <c r="P245" s="47" t="str">
        <f>IF(AND('331-CT'!$F$5=TH!H245,OR(N245="331",O245="331")),"x","")</f>
        <v/>
      </c>
      <c r="Q245" s="47" t="str">
        <f>IF(AND(B245='111'!$L$11,OR($N245=$Q$7,$O245=$Q$7)),"x","")</f>
        <v/>
      </c>
      <c r="R245" s="47" t="str">
        <f>IF(AND($N245=$Q$7,$B245&lt;'111'!$L$11),"x","")</f>
        <v/>
      </c>
      <c r="S245" s="47" t="str">
        <f>IF(AND($O245=$Q$7,$B245&lt;'111'!$L$11),"x","")</f>
        <v>x</v>
      </c>
    </row>
    <row r="246" spans="1:19" ht="15.75" customHeight="1">
      <c r="A246" s="152" t="str">
        <f>IF(B246&lt;&gt;"",IF(AND(B246='IN-TC'!$S$4,OR(TH!N246="1111",TH!O246="1111")),TH!D246,""),"")</f>
        <v/>
      </c>
      <c r="B246" s="34">
        <f t="shared" si="9"/>
        <v>2</v>
      </c>
      <c r="C246" s="35">
        <f t="shared" si="10"/>
        <v>42406</v>
      </c>
      <c r="D246" s="212" t="s">
        <v>900</v>
      </c>
      <c r="E246" s="35">
        <v>42406</v>
      </c>
      <c r="F246" s="144" t="s">
        <v>390</v>
      </c>
      <c r="G246" s="191" t="s">
        <v>215</v>
      </c>
      <c r="H246" s="198"/>
      <c r="I246" s="186"/>
      <c r="J246" s="186"/>
      <c r="K246" s="185"/>
      <c r="L246" s="186"/>
      <c r="M246" s="36">
        <v>10000000</v>
      </c>
      <c r="N246" s="37"/>
      <c r="O246" s="37" t="s">
        <v>34</v>
      </c>
      <c r="P246" s="47" t="str">
        <f>IF(AND('331-CT'!$F$5=TH!H246,OR(N246="331",O246="331")),"x","")</f>
        <v/>
      </c>
      <c r="Q246" s="47" t="str">
        <f>IF(AND(B246='111'!$L$11,OR($N246=$Q$7,$O246=$Q$7)),"x","")</f>
        <v/>
      </c>
      <c r="R246" s="47" t="str">
        <f>IF(AND($N246=$Q$7,$B246&lt;'111'!$L$11),"x","")</f>
        <v/>
      </c>
      <c r="S246" s="47" t="str">
        <f>IF(AND($O246=$Q$7,$B246&lt;'111'!$L$11),"x","")</f>
        <v>x</v>
      </c>
    </row>
    <row r="247" spans="1:19" ht="15.75" customHeight="1">
      <c r="A247" s="152" t="str">
        <f>IF(B247&lt;&gt;"",IF(AND(B247='IN-TC'!$S$4,OR(TH!N247="1111",TH!O247="1111")),TH!D247,""),"")</f>
        <v/>
      </c>
      <c r="B247" s="34">
        <f t="shared" si="9"/>
        <v>2</v>
      </c>
      <c r="C247" s="35">
        <f t="shared" si="10"/>
        <v>42407</v>
      </c>
      <c r="D247" s="212" t="s">
        <v>901</v>
      </c>
      <c r="E247" s="35">
        <v>42407</v>
      </c>
      <c r="F247" s="144" t="s">
        <v>391</v>
      </c>
      <c r="G247" s="191" t="s">
        <v>112</v>
      </c>
      <c r="H247" s="198"/>
      <c r="I247" s="186"/>
      <c r="J247" s="186"/>
      <c r="K247" s="185"/>
      <c r="L247" s="186"/>
      <c r="M247" s="36">
        <v>20000000</v>
      </c>
      <c r="N247" s="37"/>
      <c r="O247" s="37" t="s">
        <v>34</v>
      </c>
      <c r="P247" s="47" t="str">
        <f>IF(AND('331-CT'!$F$5=TH!H247,OR(N247="331",O247="331")),"x","")</f>
        <v/>
      </c>
      <c r="Q247" s="47" t="str">
        <f>IF(AND(B247='111'!$L$11,OR($N247=$Q$7,$O247=$Q$7)),"x","")</f>
        <v/>
      </c>
      <c r="R247" s="47" t="str">
        <f>IF(AND($N247=$Q$7,$B247&lt;'111'!$L$11),"x","")</f>
        <v/>
      </c>
      <c r="S247" s="47" t="str">
        <f>IF(AND($O247=$Q$7,$B247&lt;'111'!$L$11),"x","")</f>
        <v>x</v>
      </c>
    </row>
    <row r="248" spans="1:19" ht="15.75" customHeight="1">
      <c r="A248" s="152" t="str">
        <f>IF(B248&lt;&gt;"",IF(AND(B248='IN-TC'!$S$4,OR(TH!N248="1111",TH!O248="1111")),TH!D248,""),"")</f>
        <v/>
      </c>
      <c r="B248" s="34">
        <f t="shared" si="9"/>
        <v>2</v>
      </c>
      <c r="C248" s="35">
        <f t="shared" si="10"/>
        <v>42415</v>
      </c>
      <c r="D248" s="212" t="s">
        <v>938</v>
      </c>
      <c r="E248" s="35">
        <v>42415</v>
      </c>
      <c r="F248" s="144" t="s">
        <v>136</v>
      </c>
      <c r="G248" s="191" t="s">
        <v>108</v>
      </c>
      <c r="H248" s="198"/>
      <c r="I248" s="186"/>
      <c r="J248" s="186"/>
      <c r="K248" s="185"/>
      <c r="L248" s="186"/>
      <c r="M248" s="36">
        <v>8117000</v>
      </c>
      <c r="N248" s="37" t="s">
        <v>34</v>
      </c>
      <c r="O248" s="37" t="s">
        <v>1410</v>
      </c>
      <c r="P248" s="47" t="str">
        <f>IF(AND('331-CT'!$F$5=TH!H248,OR(N248="331",O248="331")),"x","")</f>
        <v/>
      </c>
      <c r="Q248" s="47" t="str">
        <f>IF(AND(B248='111'!$L$11,OR($N248=$Q$7,$O248=$Q$7)),"x","")</f>
        <v/>
      </c>
      <c r="R248" s="47" t="str">
        <f>IF(AND($N248=$Q$7,$B248&lt;'111'!$L$11),"x","")</f>
        <v>x</v>
      </c>
      <c r="S248" s="47" t="str">
        <f>IF(AND($O248=$Q$7,$B248&lt;'111'!$L$11),"x","")</f>
        <v/>
      </c>
    </row>
    <row r="249" spans="1:19" ht="15.75" customHeight="1">
      <c r="A249" s="152" t="str">
        <f>IF(B249&lt;&gt;"",IF(AND(B249='IN-TC'!$S$4,OR(TH!N249="1111",TH!O249="1111")),TH!D249,""),"")</f>
        <v/>
      </c>
      <c r="B249" s="34">
        <f t="shared" si="9"/>
        <v>2</v>
      </c>
      <c r="C249" s="35">
        <f t="shared" si="10"/>
        <v>42415</v>
      </c>
      <c r="D249" s="212" t="s">
        <v>902</v>
      </c>
      <c r="E249" s="35">
        <v>42415</v>
      </c>
      <c r="F249" s="144" t="s">
        <v>392</v>
      </c>
      <c r="G249" s="191" t="s">
        <v>111</v>
      </c>
      <c r="H249" s="198"/>
      <c r="I249" s="186"/>
      <c r="J249" s="186"/>
      <c r="K249" s="185"/>
      <c r="L249" s="186"/>
      <c r="M249" s="36">
        <v>1495000</v>
      </c>
      <c r="N249" s="37"/>
      <c r="O249" s="37" t="s">
        <v>34</v>
      </c>
      <c r="P249" s="47" t="str">
        <f>IF(AND('331-CT'!$F$5=TH!H249,OR(N249="331",O249="331")),"x","")</f>
        <v/>
      </c>
      <c r="Q249" s="47" t="str">
        <f>IF(AND(B249='111'!$L$11,OR($N249=$Q$7,$O249=$Q$7)),"x","")</f>
        <v/>
      </c>
      <c r="R249" s="47" t="str">
        <f>IF(AND($N249=$Q$7,$B249&lt;'111'!$L$11),"x","")</f>
        <v/>
      </c>
      <c r="S249" s="47" t="str">
        <f>IF(AND($O249=$Q$7,$B249&lt;'111'!$L$11),"x","")</f>
        <v>x</v>
      </c>
    </row>
    <row r="250" spans="1:19" ht="15.75" customHeight="1">
      <c r="A250" s="152" t="str">
        <f>IF(B250&lt;&gt;"",IF(AND(B250='IN-TC'!$S$4,OR(TH!N250="1111",TH!O250="1111")),TH!D250,""),"")</f>
        <v/>
      </c>
      <c r="B250" s="34">
        <f t="shared" si="9"/>
        <v>2</v>
      </c>
      <c r="C250" s="35">
        <f t="shared" si="10"/>
        <v>42415</v>
      </c>
      <c r="D250" s="212" t="s">
        <v>903</v>
      </c>
      <c r="E250" s="35">
        <v>42415</v>
      </c>
      <c r="F250" s="144" t="s">
        <v>393</v>
      </c>
      <c r="G250" s="191" t="s">
        <v>110</v>
      </c>
      <c r="H250" s="198"/>
      <c r="I250" s="186"/>
      <c r="J250" s="186"/>
      <c r="K250" s="185"/>
      <c r="L250" s="186"/>
      <c r="M250" s="36">
        <v>2500000</v>
      </c>
      <c r="N250" s="37"/>
      <c r="O250" s="37" t="s">
        <v>34</v>
      </c>
      <c r="P250" s="47" t="str">
        <f>IF(AND('331-CT'!$F$5=TH!H250,OR(N250="331",O250="331")),"x","")</f>
        <v/>
      </c>
      <c r="Q250" s="47" t="str">
        <f>IF(AND(B250='111'!$L$11,OR($N250=$Q$7,$O250=$Q$7)),"x","")</f>
        <v/>
      </c>
      <c r="R250" s="47" t="str">
        <f>IF(AND($N250=$Q$7,$B250&lt;'111'!$L$11),"x","")</f>
        <v/>
      </c>
      <c r="S250" s="47" t="str">
        <f>IF(AND($O250=$Q$7,$B250&lt;'111'!$L$11),"x","")</f>
        <v>x</v>
      </c>
    </row>
    <row r="251" spans="1:19" ht="15.75" customHeight="1">
      <c r="A251" s="152" t="str">
        <f>IF(B251&lt;&gt;"",IF(AND(B251='IN-TC'!$S$4,OR(TH!N251="1111",TH!O251="1111")),TH!D251,""),"")</f>
        <v/>
      </c>
      <c r="B251" s="34">
        <f t="shared" si="9"/>
        <v>2</v>
      </c>
      <c r="C251" s="35">
        <f t="shared" si="10"/>
        <v>42415</v>
      </c>
      <c r="D251" s="212" t="s">
        <v>904</v>
      </c>
      <c r="E251" s="35">
        <v>42415</v>
      </c>
      <c r="F251" s="144" t="s">
        <v>394</v>
      </c>
      <c r="G251" s="191" t="s">
        <v>207</v>
      </c>
      <c r="H251" s="198"/>
      <c r="I251" s="186"/>
      <c r="J251" s="186"/>
      <c r="K251" s="185"/>
      <c r="L251" s="186"/>
      <c r="M251" s="36">
        <v>767000</v>
      </c>
      <c r="N251" s="37"/>
      <c r="O251" s="37" t="s">
        <v>34</v>
      </c>
      <c r="P251" s="47" t="str">
        <f>IF(AND('331-CT'!$F$5=TH!H251,OR(N251="331",O251="331")),"x","")</f>
        <v/>
      </c>
      <c r="Q251" s="47" t="str">
        <f>IF(AND(B251='111'!$L$11,OR($N251=$Q$7,$O251=$Q$7)),"x","")</f>
        <v/>
      </c>
      <c r="R251" s="47" t="str">
        <f>IF(AND($N251=$Q$7,$B251&lt;'111'!$L$11),"x","")</f>
        <v/>
      </c>
      <c r="S251" s="47" t="str">
        <f>IF(AND($O251=$Q$7,$B251&lt;'111'!$L$11),"x","")</f>
        <v>x</v>
      </c>
    </row>
    <row r="252" spans="1:19" ht="15.75" customHeight="1">
      <c r="A252" s="152" t="str">
        <f>IF(B252&lt;&gt;"",IF(AND(B252='IN-TC'!$S$4,OR(TH!N252="1111",TH!O252="1111")),TH!D252,""),"")</f>
        <v/>
      </c>
      <c r="B252" s="34">
        <f t="shared" si="9"/>
        <v>2</v>
      </c>
      <c r="C252" s="35">
        <f t="shared" si="10"/>
        <v>42415</v>
      </c>
      <c r="D252" s="212" t="s">
        <v>905</v>
      </c>
      <c r="E252" s="35">
        <v>42415</v>
      </c>
      <c r="F252" s="144" t="s">
        <v>1273</v>
      </c>
      <c r="G252" s="191" t="s">
        <v>111</v>
      </c>
      <c r="H252" s="198"/>
      <c r="I252" s="186"/>
      <c r="J252" s="186"/>
      <c r="K252" s="185"/>
      <c r="L252" s="186"/>
      <c r="M252" s="36">
        <v>1455000</v>
      </c>
      <c r="N252" s="37"/>
      <c r="O252" s="37" t="s">
        <v>34</v>
      </c>
      <c r="P252" s="47" t="str">
        <f>IF(AND('331-CT'!$F$5=TH!H252,OR(N252="331",O252="331")),"x","")</f>
        <v/>
      </c>
      <c r="Q252" s="47" t="str">
        <f>IF(AND(B252='111'!$L$11,OR($N252=$Q$7,$O252=$Q$7)),"x","")</f>
        <v/>
      </c>
      <c r="R252" s="47" t="str">
        <f>IF(AND($N252=$Q$7,$B252&lt;'111'!$L$11),"x","")</f>
        <v/>
      </c>
      <c r="S252" s="47" t="str">
        <f>IF(AND($O252=$Q$7,$B252&lt;'111'!$L$11),"x","")</f>
        <v>x</v>
      </c>
    </row>
    <row r="253" spans="1:19" ht="15.75" customHeight="1">
      <c r="A253" s="152" t="str">
        <f>IF(B253&lt;&gt;"",IF(AND(B253='IN-TC'!$S$4,OR(TH!N253="1111",TH!O253="1111")),TH!D253,""),"")</f>
        <v/>
      </c>
      <c r="B253" s="34">
        <f t="shared" si="9"/>
        <v>2</v>
      </c>
      <c r="C253" s="35">
        <f t="shared" si="10"/>
        <v>42415</v>
      </c>
      <c r="D253" s="212" t="s">
        <v>906</v>
      </c>
      <c r="E253" s="35">
        <v>42415</v>
      </c>
      <c r="F253" s="144" t="s">
        <v>395</v>
      </c>
      <c r="G253" s="191" t="s">
        <v>202</v>
      </c>
      <c r="H253" s="198"/>
      <c r="I253" s="186"/>
      <c r="J253" s="186"/>
      <c r="K253" s="185"/>
      <c r="L253" s="186"/>
      <c r="M253" s="36">
        <v>2170000</v>
      </c>
      <c r="N253" s="37"/>
      <c r="O253" s="37" t="s">
        <v>34</v>
      </c>
      <c r="P253" s="47" t="str">
        <f>IF(AND('331-CT'!$F$5=TH!H253,OR(N253="331",O253="331")),"x","")</f>
        <v/>
      </c>
      <c r="Q253" s="47" t="str">
        <f>IF(AND(B253='111'!$L$11,OR($N253=$Q$7,$O253=$Q$7)),"x","")</f>
        <v/>
      </c>
      <c r="R253" s="47" t="str">
        <f>IF(AND($N253=$Q$7,$B253&lt;'111'!$L$11),"x","")</f>
        <v/>
      </c>
      <c r="S253" s="47" t="str">
        <f>IF(AND($O253=$Q$7,$B253&lt;'111'!$L$11),"x","")</f>
        <v>x</v>
      </c>
    </row>
    <row r="254" spans="1:19" ht="15.75" customHeight="1">
      <c r="A254" s="152" t="str">
        <f>IF(B254&lt;&gt;"",IF(AND(B254='IN-TC'!$S$4,OR(TH!N254="1111",TH!O254="1111")),TH!D254,""),"")</f>
        <v/>
      </c>
      <c r="B254" s="34">
        <f t="shared" si="9"/>
        <v>2</v>
      </c>
      <c r="C254" s="35">
        <f t="shared" si="10"/>
        <v>42415</v>
      </c>
      <c r="D254" s="212" t="s">
        <v>907</v>
      </c>
      <c r="E254" s="35">
        <v>42415</v>
      </c>
      <c r="F254" s="144" t="s">
        <v>396</v>
      </c>
      <c r="G254" s="191" t="s">
        <v>111</v>
      </c>
      <c r="H254" s="198"/>
      <c r="I254" s="186"/>
      <c r="J254" s="186"/>
      <c r="K254" s="185"/>
      <c r="L254" s="186"/>
      <c r="M254" s="36">
        <v>420000</v>
      </c>
      <c r="N254" s="37"/>
      <c r="O254" s="37" t="s">
        <v>34</v>
      </c>
      <c r="P254" s="47" t="str">
        <f>IF(AND('331-CT'!$F$5=TH!H254,OR(N254="331",O254="331")),"x","")</f>
        <v/>
      </c>
      <c r="Q254" s="47" t="str">
        <f>IF(AND(B254='111'!$L$11,OR($N254=$Q$7,$O254=$Q$7)),"x","")</f>
        <v/>
      </c>
      <c r="R254" s="47" t="str">
        <f>IF(AND($N254=$Q$7,$B254&lt;'111'!$L$11),"x","")</f>
        <v/>
      </c>
      <c r="S254" s="47" t="str">
        <f>IF(AND($O254=$Q$7,$B254&lt;'111'!$L$11),"x","")</f>
        <v>x</v>
      </c>
    </row>
    <row r="255" spans="1:19" ht="15.75" customHeight="1">
      <c r="A255" s="152" t="str">
        <f>IF(B255&lt;&gt;"",IF(AND(B255='IN-TC'!$S$4,OR(TH!N255="1111",TH!O255="1111")),TH!D255,""),"")</f>
        <v/>
      </c>
      <c r="B255" s="34">
        <f t="shared" si="9"/>
        <v>2</v>
      </c>
      <c r="C255" s="35">
        <f t="shared" si="10"/>
        <v>42420</v>
      </c>
      <c r="D255" s="212" t="s">
        <v>939</v>
      </c>
      <c r="E255" s="35">
        <v>42420</v>
      </c>
      <c r="F255" s="144" t="s">
        <v>137</v>
      </c>
      <c r="G255" s="191" t="s">
        <v>109</v>
      </c>
      <c r="H255" s="198" t="s">
        <v>1122</v>
      </c>
      <c r="I255" s="186"/>
      <c r="J255" s="186"/>
      <c r="K255" s="185"/>
      <c r="L255" s="186"/>
      <c r="M255" s="36">
        <v>83600000</v>
      </c>
      <c r="N255" s="37" t="s">
        <v>34</v>
      </c>
      <c r="O255" s="37"/>
      <c r="P255" s="47" t="str">
        <f>IF(AND('331-CT'!$F$5=TH!H255,OR(N255="331",O255="331")),"x","")</f>
        <v/>
      </c>
      <c r="Q255" s="47" t="str">
        <f>IF(AND(B255='111'!$L$11,OR($N255=$Q$7,$O255=$Q$7)),"x","")</f>
        <v/>
      </c>
      <c r="R255" s="47" t="str">
        <f>IF(AND($N255=$Q$7,$B255&lt;'111'!$L$11),"x","")</f>
        <v>x</v>
      </c>
      <c r="S255" s="47" t="str">
        <f>IF(AND($O255=$Q$7,$B255&lt;'111'!$L$11),"x","")</f>
        <v/>
      </c>
    </row>
    <row r="256" spans="1:19" ht="15.75" customHeight="1">
      <c r="A256" s="152" t="str">
        <f>IF(B256&lt;&gt;"",IF(AND(B256='IN-TC'!$S$4,OR(TH!N256="1111",TH!O256="1111")),TH!D256,""),"")</f>
        <v/>
      </c>
      <c r="B256" s="34">
        <f t="shared" si="9"/>
        <v>2</v>
      </c>
      <c r="C256" s="35">
        <f t="shared" si="10"/>
        <v>42420</v>
      </c>
      <c r="D256" s="212" t="s">
        <v>930</v>
      </c>
      <c r="E256" s="35">
        <v>42420</v>
      </c>
      <c r="F256" s="144" t="s">
        <v>138</v>
      </c>
      <c r="G256" s="191" t="s">
        <v>110</v>
      </c>
      <c r="H256" s="198"/>
      <c r="I256" s="186"/>
      <c r="J256" s="186"/>
      <c r="K256" s="185"/>
      <c r="L256" s="186"/>
      <c r="M256" s="36">
        <v>2500000</v>
      </c>
      <c r="N256" s="37" t="s">
        <v>34</v>
      </c>
      <c r="O256" s="37" t="s">
        <v>1412</v>
      </c>
      <c r="P256" s="47" t="str">
        <f>IF(AND('331-CT'!$F$5=TH!H256,OR(N256="331",O256="331")),"x","")</f>
        <v/>
      </c>
      <c r="Q256" s="47" t="str">
        <f>IF(AND(B256='111'!$L$11,OR($N256=$Q$7,$O256=$Q$7)),"x","")</f>
        <v/>
      </c>
      <c r="R256" s="47" t="str">
        <f>IF(AND($N256=$Q$7,$B256&lt;'111'!$L$11),"x","")</f>
        <v>x</v>
      </c>
      <c r="S256" s="47" t="str">
        <f>IF(AND($O256=$Q$7,$B256&lt;'111'!$L$11),"x","")</f>
        <v/>
      </c>
    </row>
    <row r="257" spans="1:19" ht="15.75" customHeight="1">
      <c r="A257" s="152" t="str">
        <f>IF(B257&lt;&gt;"",IF(AND(B257='IN-TC'!$S$4,OR(TH!N257="1111",TH!O257="1111")),TH!D257,""),"")</f>
        <v/>
      </c>
      <c r="B257" s="34">
        <f t="shared" si="9"/>
        <v>2</v>
      </c>
      <c r="C257" s="35">
        <f t="shared" si="10"/>
        <v>42420</v>
      </c>
      <c r="D257" s="212" t="s">
        <v>1012</v>
      </c>
      <c r="E257" s="35">
        <v>42420</v>
      </c>
      <c r="F257" s="144" t="s">
        <v>139</v>
      </c>
      <c r="G257" s="191" t="s">
        <v>110</v>
      </c>
      <c r="H257" s="198"/>
      <c r="I257" s="186"/>
      <c r="J257" s="186"/>
      <c r="K257" s="185"/>
      <c r="L257" s="186"/>
      <c r="M257" s="36">
        <v>4000000</v>
      </c>
      <c r="N257" s="37" t="s">
        <v>34</v>
      </c>
      <c r="O257" s="37" t="s">
        <v>1412</v>
      </c>
      <c r="P257" s="47" t="str">
        <f>IF(AND('331-CT'!$F$5=TH!H257,OR(N257="331",O257="331")),"x","")</f>
        <v/>
      </c>
      <c r="Q257" s="47" t="str">
        <f>IF(AND(B257='111'!$L$11,OR($N257=$Q$7,$O257=$Q$7)),"x","")</f>
        <v/>
      </c>
      <c r="R257" s="47" t="str">
        <f>IF(AND($N257=$Q$7,$B257&lt;'111'!$L$11),"x","")</f>
        <v>x</v>
      </c>
      <c r="S257" s="47" t="str">
        <f>IF(AND($O257=$Q$7,$B257&lt;'111'!$L$11),"x","")</f>
        <v/>
      </c>
    </row>
    <row r="258" spans="1:19" ht="15.75" customHeight="1">
      <c r="A258" s="152" t="str">
        <f>IF(B258&lt;&gt;"",IF(AND(B258='IN-TC'!$S$4,OR(TH!N258="1111",TH!O258="1111")),TH!D258,""),"")</f>
        <v/>
      </c>
      <c r="B258" s="34">
        <f t="shared" si="9"/>
        <v>2</v>
      </c>
      <c r="C258" s="35">
        <f t="shared" si="10"/>
        <v>42420</v>
      </c>
      <c r="D258" s="212" t="s">
        <v>908</v>
      </c>
      <c r="E258" s="35">
        <v>42420</v>
      </c>
      <c r="F258" s="144" t="s">
        <v>397</v>
      </c>
      <c r="G258" s="191" t="s">
        <v>111</v>
      </c>
      <c r="H258" s="198"/>
      <c r="I258" s="186"/>
      <c r="J258" s="186"/>
      <c r="K258" s="185"/>
      <c r="L258" s="186"/>
      <c r="M258" s="36">
        <v>10000000</v>
      </c>
      <c r="N258" s="37"/>
      <c r="O258" s="37" t="s">
        <v>34</v>
      </c>
      <c r="P258" s="47" t="str">
        <f>IF(AND('331-CT'!$F$5=TH!H258,OR(N258="331",O258="331")),"x","")</f>
        <v/>
      </c>
      <c r="Q258" s="47" t="str">
        <f>IF(AND(B258='111'!$L$11,OR($N258=$Q$7,$O258=$Q$7)),"x","")</f>
        <v/>
      </c>
      <c r="R258" s="47" t="str">
        <f>IF(AND($N258=$Q$7,$B258&lt;'111'!$L$11),"x","")</f>
        <v/>
      </c>
      <c r="S258" s="47" t="str">
        <f>IF(AND($O258=$Q$7,$B258&lt;'111'!$L$11),"x","")</f>
        <v>x</v>
      </c>
    </row>
    <row r="259" spans="1:19" ht="15.75" customHeight="1">
      <c r="A259" s="152" t="str">
        <f>IF(B259&lt;&gt;"",IF(AND(B259='IN-TC'!$S$4,OR(TH!N259="1111",TH!O259="1111")),TH!D259,""),"")</f>
        <v/>
      </c>
      <c r="B259" s="34">
        <f t="shared" si="9"/>
        <v>2</v>
      </c>
      <c r="C259" s="35">
        <f t="shared" si="10"/>
        <v>42420</v>
      </c>
      <c r="D259" s="212" t="s">
        <v>909</v>
      </c>
      <c r="E259" s="35">
        <v>42420</v>
      </c>
      <c r="F259" s="144" t="s">
        <v>398</v>
      </c>
      <c r="G259" s="191" t="s">
        <v>207</v>
      </c>
      <c r="H259" s="198"/>
      <c r="I259" s="186"/>
      <c r="J259" s="186"/>
      <c r="K259" s="185"/>
      <c r="L259" s="186"/>
      <c r="M259" s="36">
        <v>340000</v>
      </c>
      <c r="N259" s="37"/>
      <c r="O259" s="37" t="s">
        <v>34</v>
      </c>
      <c r="P259" s="47" t="str">
        <f>IF(AND('331-CT'!$F$5=TH!H259,OR(N259="331",O259="331")),"x","")</f>
        <v/>
      </c>
      <c r="Q259" s="47" t="str">
        <f>IF(AND(B259='111'!$L$11,OR($N259=$Q$7,$O259=$Q$7)),"x","")</f>
        <v/>
      </c>
      <c r="R259" s="47" t="str">
        <f>IF(AND($N259=$Q$7,$B259&lt;'111'!$L$11),"x","")</f>
        <v/>
      </c>
      <c r="S259" s="47" t="str">
        <f>IF(AND($O259=$Q$7,$B259&lt;'111'!$L$11),"x","")</f>
        <v>x</v>
      </c>
    </row>
    <row r="260" spans="1:19" ht="15.75" customHeight="1">
      <c r="A260" s="152" t="str">
        <f>IF(B260&lt;&gt;"",IF(AND(B260='IN-TC'!$S$4,OR(TH!N260="1111",TH!O260="1111")),TH!D260,""),"")</f>
        <v/>
      </c>
      <c r="B260" s="34">
        <f t="shared" si="9"/>
        <v>2</v>
      </c>
      <c r="C260" s="35">
        <f t="shared" si="10"/>
        <v>42420</v>
      </c>
      <c r="D260" s="212" t="s">
        <v>910</v>
      </c>
      <c r="E260" s="35">
        <v>42420</v>
      </c>
      <c r="F260" s="144" t="s">
        <v>393</v>
      </c>
      <c r="G260" s="191" t="s">
        <v>202</v>
      </c>
      <c r="H260" s="198"/>
      <c r="I260" s="186"/>
      <c r="J260" s="186"/>
      <c r="K260" s="185"/>
      <c r="L260" s="186"/>
      <c r="M260" s="36">
        <v>2600000</v>
      </c>
      <c r="N260" s="37"/>
      <c r="O260" s="37" t="s">
        <v>34</v>
      </c>
      <c r="P260" s="47" t="str">
        <f>IF(AND('331-CT'!$F$5=TH!H260,OR(N260="331",O260="331")),"x","")</f>
        <v/>
      </c>
      <c r="Q260" s="47" t="str">
        <f>IF(AND(B260='111'!$L$11,OR($N260=$Q$7,$O260=$Q$7)),"x","")</f>
        <v/>
      </c>
      <c r="R260" s="47" t="str">
        <f>IF(AND($N260=$Q$7,$B260&lt;'111'!$L$11),"x","")</f>
        <v/>
      </c>
      <c r="S260" s="47" t="str">
        <f>IF(AND($O260=$Q$7,$B260&lt;'111'!$L$11),"x","")</f>
        <v>x</v>
      </c>
    </row>
    <row r="261" spans="1:19" ht="15.75" customHeight="1">
      <c r="A261" s="152" t="str">
        <f>IF(B261&lt;&gt;"",IF(AND(B261='IN-TC'!$S$4,OR(TH!N261="1111",TH!O261="1111")),TH!D261,""),"")</f>
        <v/>
      </c>
      <c r="B261" s="34">
        <f t="shared" si="9"/>
        <v>2</v>
      </c>
      <c r="C261" s="35">
        <f t="shared" si="10"/>
        <v>42420</v>
      </c>
      <c r="D261" s="212" t="s">
        <v>911</v>
      </c>
      <c r="E261" s="35">
        <v>42420</v>
      </c>
      <c r="F261" s="144" t="s">
        <v>399</v>
      </c>
      <c r="G261" s="191" t="s">
        <v>202</v>
      </c>
      <c r="H261" s="198"/>
      <c r="I261" s="186"/>
      <c r="J261" s="186"/>
      <c r="K261" s="185"/>
      <c r="L261" s="186"/>
      <c r="M261" s="36">
        <v>4286000</v>
      </c>
      <c r="N261" s="37"/>
      <c r="O261" s="37" t="s">
        <v>34</v>
      </c>
      <c r="P261" s="47" t="str">
        <f>IF(AND('331-CT'!$F$5=TH!H261,OR(N261="331",O261="331")),"x","")</f>
        <v/>
      </c>
      <c r="Q261" s="47" t="str">
        <f>IF(AND(B261='111'!$L$11,OR($N261=$Q$7,$O261=$Q$7)),"x","")</f>
        <v/>
      </c>
      <c r="R261" s="47" t="str">
        <f>IF(AND($N261=$Q$7,$B261&lt;'111'!$L$11),"x","")</f>
        <v/>
      </c>
      <c r="S261" s="47" t="str">
        <f>IF(AND($O261=$Q$7,$B261&lt;'111'!$L$11),"x","")</f>
        <v>x</v>
      </c>
    </row>
    <row r="262" spans="1:19" ht="15.75" customHeight="1">
      <c r="A262" s="152" t="str">
        <f>IF(B262&lt;&gt;"",IF(AND(B262='IN-TC'!$S$4,OR(TH!N262="1111",TH!O262="1111")),TH!D262,""),"")</f>
        <v/>
      </c>
      <c r="B262" s="34">
        <f t="shared" si="9"/>
        <v>2</v>
      </c>
      <c r="C262" s="35">
        <f t="shared" si="10"/>
        <v>42420</v>
      </c>
      <c r="D262" s="212" t="s">
        <v>912</v>
      </c>
      <c r="E262" s="35">
        <v>42420</v>
      </c>
      <c r="F262" s="144" t="s">
        <v>400</v>
      </c>
      <c r="G262" s="191" t="s">
        <v>205</v>
      </c>
      <c r="H262" s="198"/>
      <c r="I262" s="186"/>
      <c r="J262" s="186"/>
      <c r="K262" s="185"/>
      <c r="L262" s="186"/>
      <c r="M262" s="36">
        <v>260000</v>
      </c>
      <c r="N262" s="37"/>
      <c r="O262" s="37" t="s">
        <v>34</v>
      </c>
      <c r="P262" s="47" t="str">
        <f>IF(AND('331-CT'!$F$5=TH!H262,OR(N262="331",O262="331")),"x","")</f>
        <v/>
      </c>
      <c r="Q262" s="47" t="str">
        <f>IF(AND(B262='111'!$L$11,OR($N262=$Q$7,$O262=$Q$7)),"x","")</f>
        <v/>
      </c>
      <c r="R262" s="47" t="str">
        <f>IF(AND($N262=$Q$7,$B262&lt;'111'!$L$11),"x","")</f>
        <v/>
      </c>
      <c r="S262" s="47" t="str">
        <f>IF(AND($O262=$Q$7,$B262&lt;'111'!$L$11),"x","")</f>
        <v>x</v>
      </c>
    </row>
    <row r="263" spans="1:19" ht="15.75" customHeight="1">
      <c r="A263" s="152" t="str">
        <f>IF(B263&lt;&gt;"",IF(AND(B263='IN-TC'!$S$4,OR(TH!N263="1111",TH!O263="1111")),TH!D263,""),"")</f>
        <v/>
      </c>
      <c r="B263" s="34">
        <f t="shared" si="9"/>
        <v>2</v>
      </c>
      <c r="C263" s="35">
        <f t="shared" si="10"/>
        <v>42420</v>
      </c>
      <c r="D263" s="212" t="s">
        <v>913</v>
      </c>
      <c r="E263" s="35">
        <v>42420</v>
      </c>
      <c r="F263" s="144" t="s">
        <v>401</v>
      </c>
      <c r="G263" s="191" t="s">
        <v>205</v>
      </c>
      <c r="H263" s="198"/>
      <c r="I263" s="186"/>
      <c r="J263" s="186"/>
      <c r="K263" s="185"/>
      <c r="L263" s="186"/>
      <c r="M263" s="36">
        <v>1280000</v>
      </c>
      <c r="N263" s="37"/>
      <c r="O263" s="37" t="s">
        <v>34</v>
      </c>
      <c r="P263" s="47" t="str">
        <f>IF(AND('331-CT'!$F$5=TH!H263,OR(N263="331",O263="331")),"x","")</f>
        <v/>
      </c>
      <c r="Q263" s="47" t="str">
        <f>IF(AND(B263='111'!$L$11,OR($N263=$Q$7,$O263=$Q$7)),"x","")</f>
        <v/>
      </c>
      <c r="R263" s="47" t="str">
        <f>IF(AND($N263=$Q$7,$B263&lt;'111'!$L$11),"x","")</f>
        <v/>
      </c>
      <c r="S263" s="47" t="str">
        <f>IF(AND($O263=$Q$7,$B263&lt;'111'!$L$11),"x","")</f>
        <v>x</v>
      </c>
    </row>
    <row r="264" spans="1:19" ht="15.75" customHeight="1">
      <c r="A264" s="152" t="str">
        <f>IF(B264&lt;&gt;"",IF(AND(B264='IN-TC'!$S$4,OR(TH!N264="1111",TH!O264="1111")),TH!D264,""),"")</f>
        <v/>
      </c>
      <c r="B264" s="34">
        <f t="shared" si="9"/>
        <v>2</v>
      </c>
      <c r="C264" s="35">
        <f t="shared" si="10"/>
        <v>42420</v>
      </c>
      <c r="D264" s="212" t="s">
        <v>914</v>
      </c>
      <c r="E264" s="35">
        <v>42420</v>
      </c>
      <c r="F264" s="144" t="s">
        <v>402</v>
      </c>
      <c r="G264" s="191" t="s">
        <v>202</v>
      </c>
      <c r="H264" s="198"/>
      <c r="I264" s="186"/>
      <c r="J264" s="186"/>
      <c r="K264" s="185"/>
      <c r="L264" s="186"/>
      <c r="M264" s="36">
        <v>380000</v>
      </c>
      <c r="N264" s="37"/>
      <c r="O264" s="37" t="s">
        <v>34</v>
      </c>
      <c r="P264" s="47" t="str">
        <f>IF(AND('331-CT'!$F$5=TH!H264,OR(N264="331",O264="331")),"x","")</f>
        <v/>
      </c>
      <c r="Q264" s="47" t="str">
        <f>IF(AND(B264='111'!$L$11,OR($N264=$Q$7,$O264=$Q$7)),"x","")</f>
        <v/>
      </c>
      <c r="R264" s="47" t="str">
        <f>IF(AND($N264=$Q$7,$B264&lt;'111'!$L$11),"x","")</f>
        <v/>
      </c>
      <c r="S264" s="47" t="str">
        <f>IF(AND($O264=$Q$7,$B264&lt;'111'!$L$11),"x","")</f>
        <v>x</v>
      </c>
    </row>
    <row r="265" spans="1:19" ht="15.75" customHeight="1">
      <c r="A265" s="152" t="str">
        <f>IF(B265&lt;&gt;"",IF(AND(B265='IN-TC'!$S$4,OR(TH!N265="1111",TH!O265="1111")),TH!D265,""),"")</f>
        <v/>
      </c>
      <c r="B265" s="34">
        <f t="shared" si="9"/>
        <v>2</v>
      </c>
      <c r="C265" s="35">
        <f t="shared" si="10"/>
        <v>42422</v>
      </c>
      <c r="D265" s="212" t="s">
        <v>915</v>
      </c>
      <c r="E265" s="35">
        <v>42422</v>
      </c>
      <c r="F265" s="144" t="s">
        <v>403</v>
      </c>
      <c r="G265" s="191" t="s">
        <v>112</v>
      </c>
      <c r="H265" s="198"/>
      <c r="I265" s="186"/>
      <c r="J265" s="186"/>
      <c r="K265" s="185"/>
      <c r="L265" s="186"/>
      <c r="M265" s="36">
        <v>930000</v>
      </c>
      <c r="N265" s="37"/>
      <c r="O265" s="37" t="s">
        <v>34</v>
      </c>
      <c r="P265" s="47" t="str">
        <f>IF(AND('331-CT'!$F$5=TH!H265,OR(N265="331",O265="331")),"x","")</f>
        <v/>
      </c>
      <c r="Q265" s="47" t="str">
        <f>IF(AND(B265='111'!$L$11,OR($N265=$Q$7,$O265=$Q$7)),"x","")</f>
        <v/>
      </c>
      <c r="R265" s="47" t="str">
        <f>IF(AND($N265=$Q$7,$B265&lt;'111'!$L$11),"x","")</f>
        <v/>
      </c>
      <c r="S265" s="47" t="str">
        <f>IF(AND($O265=$Q$7,$B265&lt;'111'!$L$11),"x","")</f>
        <v>x</v>
      </c>
    </row>
    <row r="266" spans="1:19" ht="15.75" customHeight="1">
      <c r="A266" s="152" t="str">
        <f>IF(B266&lt;&gt;"",IF(AND(B266='IN-TC'!$S$4,OR(TH!N266="1111",TH!O266="1111")),TH!D266,""),"")</f>
        <v/>
      </c>
      <c r="B266" s="34">
        <f t="shared" si="9"/>
        <v>2</v>
      </c>
      <c r="C266" s="35">
        <f t="shared" si="10"/>
        <v>42422</v>
      </c>
      <c r="D266" s="212" t="s">
        <v>916</v>
      </c>
      <c r="E266" s="35">
        <v>42422</v>
      </c>
      <c r="F266" s="144" t="s">
        <v>404</v>
      </c>
      <c r="G266" s="191" t="s">
        <v>205</v>
      </c>
      <c r="H266" s="198"/>
      <c r="I266" s="186"/>
      <c r="J266" s="186"/>
      <c r="K266" s="185"/>
      <c r="L266" s="186"/>
      <c r="M266" s="36">
        <v>260000</v>
      </c>
      <c r="N266" s="37"/>
      <c r="O266" s="37" t="s">
        <v>34</v>
      </c>
      <c r="P266" s="47" t="str">
        <f>IF(AND('331-CT'!$F$5=TH!H266,OR(N266="331",O266="331")),"x","")</f>
        <v/>
      </c>
      <c r="Q266" s="47" t="str">
        <f>IF(AND(B266='111'!$L$11,OR($N266=$Q$7,$O266=$Q$7)),"x","")</f>
        <v/>
      </c>
      <c r="R266" s="47" t="str">
        <f>IF(AND($N266=$Q$7,$B266&lt;'111'!$L$11),"x","")</f>
        <v/>
      </c>
      <c r="S266" s="47" t="str">
        <f>IF(AND($O266=$Q$7,$B266&lt;'111'!$L$11),"x","")</f>
        <v>x</v>
      </c>
    </row>
    <row r="267" spans="1:19" ht="15.75" customHeight="1">
      <c r="A267" s="152" t="str">
        <f>IF(B267&lt;&gt;"",IF(AND(B267='IN-TC'!$S$4,OR(TH!N267="1111",TH!O267="1111")),TH!D267,""),"")</f>
        <v/>
      </c>
      <c r="B267" s="34">
        <f t="shared" si="9"/>
        <v>2</v>
      </c>
      <c r="C267" s="35">
        <f t="shared" si="10"/>
        <v>42422</v>
      </c>
      <c r="D267" s="212" t="s">
        <v>917</v>
      </c>
      <c r="E267" s="35">
        <v>42422</v>
      </c>
      <c r="F267" s="144" t="s">
        <v>405</v>
      </c>
      <c r="G267" s="191" t="s">
        <v>208</v>
      </c>
      <c r="H267" s="198"/>
      <c r="I267" s="186"/>
      <c r="J267" s="186"/>
      <c r="K267" s="185"/>
      <c r="L267" s="186"/>
      <c r="M267" s="36">
        <v>2103000</v>
      </c>
      <c r="N267" s="37"/>
      <c r="O267" s="37" t="s">
        <v>34</v>
      </c>
      <c r="P267" s="47" t="str">
        <f>IF(AND('331-CT'!$F$5=TH!H267,OR(N267="331",O267="331")),"x","")</f>
        <v/>
      </c>
      <c r="Q267" s="47" t="str">
        <f>IF(AND(B267='111'!$L$11,OR($N267=$Q$7,$O267=$Q$7)),"x","")</f>
        <v/>
      </c>
      <c r="R267" s="47" t="str">
        <f>IF(AND($N267=$Q$7,$B267&lt;'111'!$L$11),"x","")</f>
        <v/>
      </c>
      <c r="S267" s="47" t="str">
        <f>IF(AND($O267=$Q$7,$B267&lt;'111'!$L$11),"x","")</f>
        <v>x</v>
      </c>
    </row>
    <row r="268" spans="1:19" ht="15.75" customHeight="1">
      <c r="A268" s="152" t="str">
        <f>IF(B268&lt;&gt;"",IF(AND(B268='IN-TC'!$S$4,OR(TH!N268="1111",TH!O268="1111")),TH!D268,""),"")</f>
        <v/>
      </c>
      <c r="B268" s="34">
        <f t="shared" si="9"/>
        <v>2</v>
      </c>
      <c r="C268" s="35">
        <f t="shared" si="10"/>
        <v>42422</v>
      </c>
      <c r="D268" s="212" t="s">
        <v>918</v>
      </c>
      <c r="E268" s="35">
        <v>42422</v>
      </c>
      <c r="F268" s="144" t="s">
        <v>406</v>
      </c>
      <c r="G268" s="191" t="s">
        <v>112</v>
      </c>
      <c r="H268" s="198"/>
      <c r="I268" s="186"/>
      <c r="J268" s="186"/>
      <c r="K268" s="185"/>
      <c r="L268" s="186"/>
      <c r="M268" s="36">
        <v>10000000</v>
      </c>
      <c r="N268" s="37"/>
      <c r="O268" s="37" t="s">
        <v>34</v>
      </c>
      <c r="P268" s="47" t="str">
        <f>IF(AND('331-CT'!$F$5=TH!H268,OR(N268="331",O268="331")),"x","")</f>
        <v/>
      </c>
      <c r="Q268" s="47" t="str">
        <f>IF(AND(B268='111'!$L$11,OR($N268=$Q$7,$O268=$Q$7)),"x","")</f>
        <v/>
      </c>
      <c r="R268" s="47" t="str">
        <f>IF(AND($N268=$Q$7,$B268&lt;'111'!$L$11),"x","")</f>
        <v/>
      </c>
      <c r="S268" s="47" t="str">
        <f>IF(AND($O268=$Q$7,$B268&lt;'111'!$L$11),"x","")</f>
        <v>x</v>
      </c>
    </row>
    <row r="269" spans="1:19" ht="15.75" customHeight="1">
      <c r="A269" s="152" t="str">
        <f>IF(B269&lt;&gt;"",IF(AND(B269='IN-TC'!$S$4,OR(TH!N269="1111",TH!O269="1111")),TH!D269,""),"")</f>
        <v/>
      </c>
      <c r="B269" s="34">
        <f t="shared" ref="B269:B332" si="11">IF(C269&lt;&gt;"",MONTH(C269),"")</f>
        <v>2</v>
      </c>
      <c r="C269" s="35">
        <f t="shared" ref="C269:C332" si="12">E269</f>
        <v>42423</v>
      </c>
      <c r="D269" s="212" t="s">
        <v>1013</v>
      </c>
      <c r="E269" s="35">
        <v>42423</v>
      </c>
      <c r="F269" s="144" t="s">
        <v>140</v>
      </c>
      <c r="G269" s="191" t="s">
        <v>104</v>
      </c>
      <c r="H269" s="198"/>
      <c r="I269" s="186"/>
      <c r="J269" s="186"/>
      <c r="K269" s="185"/>
      <c r="L269" s="186"/>
      <c r="M269" s="36">
        <v>240000000</v>
      </c>
      <c r="N269" s="37" t="s">
        <v>34</v>
      </c>
      <c r="O269" s="37"/>
      <c r="P269" s="47" t="str">
        <f>IF(AND('331-CT'!$F$5=TH!H269,OR(N269="331",O269="331")),"x","")</f>
        <v/>
      </c>
      <c r="Q269" s="47" t="str">
        <f>IF(AND(B269='111'!$L$11,OR($N269=$Q$7,$O269=$Q$7)),"x","")</f>
        <v/>
      </c>
      <c r="R269" s="47" t="str">
        <f>IF(AND($N269=$Q$7,$B269&lt;'111'!$L$11),"x","")</f>
        <v>x</v>
      </c>
      <c r="S269" s="47" t="str">
        <f>IF(AND($O269=$Q$7,$B269&lt;'111'!$L$11),"x","")</f>
        <v/>
      </c>
    </row>
    <row r="270" spans="1:19" ht="15.75" customHeight="1">
      <c r="A270" s="152" t="str">
        <f>IF(B270&lt;&gt;"",IF(AND(B270='IN-TC'!$S$4,OR(TH!N270="1111",TH!O270="1111")),TH!D270,""),"")</f>
        <v/>
      </c>
      <c r="B270" s="34">
        <f t="shared" si="11"/>
        <v>2</v>
      </c>
      <c r="C270" s="35">
        <f t="shared" si="12"/>
        <v>42423</v>
      </c>
      <c r="D270" s="212" t="s">
        <v>1014</v>
      </c>
      <c r="E270" s="35">
        <v>42423</v>
      </c>
      <c r="F270" s="144" t="s">
        <v>141</v>
      </c>
      <c r="G270" s="191" t="s">
        <v>105</v>
      </c>
      <c r="H270" s="198" t="s">
        <v>1415</v>
      </c>
      <c r="I270" s="186"/>
      <c r="J270" s="186"/>
      <c r="K270" s="185"/>
      <c r="L270" s="186"/>
      <c r="M270" s="36">
        <v>157000000</v>
      </c>
      <c r="N270" s="37" t="s">
        <v>34</v>
      </c>
      <c r="O270" s="37" t="s">
        <v>812</v>
      </c>
      <c r="P270" s="47" t="str">
        <f>IF(AND('331-CT'!$F$5=TH!H270,OR(N270="331",O270="331")),"x","")</f>
        <v/>
      </c>
      <c r="Q270" s="47" t="str">
        <f>IF(AND(B270='111'!$L$11,OR($N270=$Q$7,$O270=$Q$7)),"x","")</f>
        <v/>
      </c>
      <c r="R270" s="47" t="str">
        <f>IF(AND($N270=$Q$7,$B270&lt;'111'!$L$11),"x","")</f>
        <v>x</v>
      </c>
      <c r="S270" s="47" t="str">
        <f>IF(AND($O270=$Q$7,$B270&lt;'111'!$L$11),"x","")</f>
        <v/>
      </c>
    </row>
    <row r="271" spans="1:19" ht="15.75" customHeight="1">
      <c r="A271" s="152" t="str">
        <f>IF(B271&lt;&gt;"",IF(AND(B271='IN-TC'!$S$4,OR(TH!N271="1111",TH!O271="1111")),TH!D271,""),"")</f>
        <v/>
      </c>
      <c r="B271" s="34">
        <f t="shared" si="11"/>
        <v>2</v>
      </c>
      <c r="C271" s="35">
        <f t="shared" si="12"/>
        <v>42423</v>
      </c>
      <c r="D271" s="212" t="s">
        <v>919</v>
      </c>
      <c r="E271" s="35">
        <v>42423</v>
      </c>
      <c r="F271" s="144" t="s">
        <v>407</v>
      </c>
      <c r="G271" s="191" t="s">
        <v>222</v>
      </c>
      <c r="H271" s="198"/>
      <c r="I271" s="186"/>
      <c r="J271" s="186"/>
      <c r="K271" s="185"/>
      <c r="L271" s="186"/>
      <c r="M271" s="36">
        <v>223900000</v>
      </c>
      <c r="N271" s="37"/>
      <c r="O271" s="37" t="s">
        <v>34</v>
      </c>
      <c r="P271" s="47" t="str">
        <f>IF(AND('331-CT'!$F$5=TH!H271,OR(N271="331",O271="331")),"x","")</f>
        <v/>
      </c>
      <c r="Q271" s="47" t="str">
        <f>IF(AND(B271='111'!$L$11,OR($N271=$Q$7,$O271=$Q$7)),"x","")</f>
        <v/>
      </c>
      <c r="R271" s="47" t="str">
        <f>IF(AND($N271=$Q$7,$B271&lt;'111'!$L$11),"x","")</f>
        <v/>
      </c>
      <c r="S271" s="47" t="str">
        <f>IF(AND($O271=$Q$7,$B271&lt;'111'!$L$11),"x","")</f>
        <v>x</v>
      </c>
    </row>
    <row r="272" spans="1:19" ht="15.75" customHeight="1">
      <c r="A272" s="152" t="str">
        <f>IF(B272&lt;&gt;"",IF(AND(B272='IN-TC'!$S$4,OR(TH!N272="1111",TH!O272="1111")),TH!D272,""),"")</f>
        <v/>
      </c>
      <c r="B272" s="34">
        <f t="shared" si="11"/>
        <v>2</v>
      </c>
      <c r="C272" s="35">
        <f t="shared" si="12"/>
        <v>42423</v>
      </c>
      <c r="D272" s="212" t="s">
        <v>920</v>
      </c>
      <c r="E272" s="35">
        <v>42423</v>
      </c>
      <c r="F272" s="144" t="s">
        <v>408</v>
      </c>
      <c r="G272" s="191" t="s">
        <v>110</v>
      </c>
      <c r="H272" s="198"/>
      <c r="I272" s="186"/>
      <c r="J272" s="186"/>
      <c r="K272" s="185"/>
      <c r="L272" s="186"/>
      <c r="M272" s="36">
        <v>10000000</v>
      </c>
      <c r="N272" s="37"/>
      <c r="O272" s="37" t="s">
        <v>34</v>
      </c>
      <c r="P272" s="47" t="str">
        <f>IF(AND('331-CT'!$F$5=TH!H272,OR(N272="331",O272="331")),"x","")</f>
        <v/>
      </c>
      <c r="Q272" s="47" t="str">
        <f>IF(AND(B272='111'!$L$11,OR($N272=$Q$7,$O272=$Q$7)),"x","")</f>
        <v/>
      </c>
      <c r="R272" s="47" t="str">
        <f>IF(AND($N272=$Q$7,$B272&lt;'111'!$L$11),"x","")</f>
        <v/>
      </c>
      <c r="S272" s="47" t="str">
        <f>IF(AND($O272=$Q$7,$B272&lt;'111'!$L$11),"x","")</f>
        <v>x</v>
      </c>
    </row>
    <row r="273" spans="1:19" ht="15.75" customHeight="1">
      <c r="A273" s="152" t="str">
        <f>IF(B273&lt;&gt;"",IF(AND(B273='IN-TC'!$S$4,OR(TH!N273="1111",TH!O273="1111")),TH!D273,""),"")</f>
        <v/>
      </c>
      <c r="B273" s="34">
        <f t="shared" si="11"/>
        <v>2</v>
      </c>
      <c r="C273" s="35">
        <f t="shared" si="12"/>
        <v>42423</v>
      </c>
      <c r="D273" s="212" t="s">
        <v>921</v>
      </c>
      <c r="E273" s="35">
        <v>42423</v>
      </c>
      <c r="F273" s="144" t="s">
        <v>1274</v>
      </c>
      <c r="G273" s="191" t="s">
        <v>111</v>
      </c>
      <c r="H273" s="198"/>
      <c r="I273" s="186"/>
      <c r="J273" s="186"/>
      <c r="K273" s="185"/>
      <c r="L273" s="186"/>
      <c r="M273" s="36">
        <v>320000</v>
      </c>
      <c r="N273" s="37"/>
      <c r="O273" s="37" t="s">
        <v>34</v>
      </c>
      <c r="P273" s="47" t="str">
        <f>IF(AND('331-CT'!$F$5=TH!H273,OR(N273="331",O273="331")),"x","")</f>
        <v/>
      </c>
      <c r="Q273" s="47" t="str">
        <f>IF(AND(B273='111'!$L$11,OR($N273=$Q$7,$O273=$Q$7)),"x","")</f>
        <v/>
      </c>
      <c r="R273" s="47" t="str">
        <f>IF(AND($N273=$Q$7,$B273&lt;'111'!$L$11),"x","")</f>
        <v/>
      </c>
      <c r="S273" s="47" t="str">
        <f>IF(AND($O273=$Q$7,$B273&lt;'111'!$L$11),"x","")</f>
        <v>x</v>
      </c>
    </row>
    <row r="274" spans="1:19" ht="15.75" customHeight="1">
      <c r="A274" s="152" t="str">
        <f>IF(B274&lt;&gt;"",IF(AND(B274='IN-TC'!$S$4,OR(TH!N274="1111",TH!O274="1111")),TH!D274,""),"")</f>
        <v/>
      </c>
      <c r="B274" s="34">
        <f t="shared" si="11"/>
        <v>2</v>
      </c>
      <c r="C274" s="35">
        <f t="shared" si="12"/>
        <v>42424</v>
      </c>
      <c r="D274" s="212" t="s">
        <v>922</v>
      </c>
      <c r="E274" s="35">
        <v>42424</v>
      </c>
      <c r="F274" s="144" t="s">
        <v>409</v>
      </c>
      <c r="G274" s="191" t="s">
        <v>110</v>
      </c>
      <c r="H274" s="198"/>
      <c r="I274" s="186"/>
      <c r="J274" s="186"/>
      <c r="K274" s="185"/>
      <c r="L274" s="186"/>
      <c r="M274" s="36">
        <v>500000</v>
      </c>
      <c r="N274" s="37"/>
      <c r="O274" s="37" t="s">
        <v>34</v>
      </c>
      <c r="P274" s="47" t="str">
        <f>IF(AND('331-CT'!$F$5=TH!H274,OR(N274="331",O274="331")),"x","")</f>
        <v/>
      </c>
      <c r="Q274" s="47" t="str">
        <f>IF(AND(B274='111'!$L$11,OR($N274=$Q$7,$O274=$Q$7)),"x","")</f>
        <v/>
      </c>
      <c r="R274" s="47" t="str">
        <f>IF(AND($N274=$Q$7,$B274&lt;'111'!$L$11),"x","")</f>
        <v/>
      </c>
      <c r="S274" s="47" t="str">
        <f>IF(AND($O274=$Q$7,$B274&lt;'111'!$L$11),"x","")</f>
        <v>x</v>
      </c>
    </row>
    <row r="275" spans="1:19" ht="15.75" customHeight="1">
      <c r="A275" s="152" t="str">
        <f>IF(B275&lt;&gt;"",IF(AND(B275='IN-TC'!$S$4,OR(TH!N275="1111",TH!O275="1111")),TH!D275,""),"")</f>
        <v/>
      </c>
      <c r="B275" s="34">
        <f t="shared" si="11"/>
        <v>2</v>
      </c>
      <c r="C275" s="35">
        <f t="shared" si="12"/>
        <v>42424</v>
      </c>
      <c r="D275" s="212" t="s">
        <v>923</v>
      </c>
      <c r="E275" s="35">
        <v>42424</v>
      </c>
      <c r="F275" s="144" t="s">
        <v>410</v>
      </c>
      <c r="G275" s="191" t="s">
        <v>209</v>
      </c>
      <c r="H275" s="198"/>
      <c r="I275" s="186"/>
      <c r="J275" s="186"/>
      <c r="K275" s="185"/>
      <c r="L275" s="186"/>
      <c r="M275" s="36">
        <v>252000</v>
      </c>
      <c r="N275" s="37"/>
      <c r="O275" s="37" t="s">
        <v>34</v>
      </c>
      <c r="P275" s="47" t="str">
        <f>IF(AND('331-CT'!$F$5=TH!H275,OR(N275="331",O275="331")),"x","")</f>
        <v/>
      </c>
      <c r="Q275" s="47" t="str">
        <f>IF(AND(B275='111'!$L$11,OR($N275=$Q$7,$O275=$Q$7)),"x","")</f>
        <v/>
      </c>
      <c r="R275" s="47" t="str">
        <f>IF(AND($N275=$Q$7,$B275&lt;'111'!$L$11),"x","")</f>
        <v/>
      </c>
      <c r="S275" s="47" t="str">
        <f>IF(AND($O275=$Q$7,$B275&lt;'111'!$L$11),"x","")</f>
        <v>x</v>
      </c>
    </row>
    <row r="276" spans="1:19" ht="15.75" customHeight="1">
      <c r="A276" s="152" t="str">
        <f>IF(B276&lt;&gt;"",IF(AND(B276='IN-TC'!$S$4,OR(TH!N276="1111",TH!O276="1111")),TH!D276,""),"")</f>
        <v/>
      </c>
      <c r="B276" s="34">
        <f t="shared" si="11"/>
        <v>2</v>
      </c>
      <c r="C276" s="35">
        <f t="shared" si="12"/>
        <v>42424</v>
      </c>
      <c r="D276" s="212" t="s">
        <v>924</v>
      </c>
      <c r="E276" s="35">
        <v>42424</v>
      </c>
      <c r="F276" s="144" t="s">
        <v>411</v>
      </c>
      <c r="G276" s="191" t="s">
        <v>110</v>
      </c>
      <c r="H276" s="198"/>
      <c r="I276" s="186"/>
      <c r="J276" s="186"/>
      <c r="K276" s="185"/>
      <c r="L276" s="186"/>
      <c r="M276" s="36">
        <v>5000000</v>
      </c>
      <c r="N276" s="37"/>
      <c r="O276" s="37" t="s">
        <v>34</v>
      </c>
      <c r="P276" s="47" t="str">
        <f>IF(AND('331-CT'!$F$5=TH!H276,OR(N276="331",O276="331")),"x","")</f>
        <v/>
      </c>
      <c r="Q276" s="47" t="str">
        <f>IF(AND(B276='111'!$L$11,OR($N276=$Q$7,$O276=$Q$7)),"x","")</f>
        <v/>
      </c>
      <c r="R276" s="47" t="str">
        <f>IF(AND($N276=$Q$7,$B276&lt;'111'!$L$11),"x","")</f>
        <v/>
      </c>
      <c r="S276" s="47" t="str">
        <f>IF(AND($O276=$Q$7,$B276&lt;'111'!$L$11),"x","")</f>
        <v>x</v>
      </c>
    </row>
    <row r="277" spans="1:19" ht="15.75" customHeight="1">
      <c r="A277" s="152" t="str">
        <f>IF(B277&lt;&gt;"",IF(AND(B277='IN-TC'!$S$4,OR(TH!N277="1111",TH!O277="1111")),TH!D277,""),"")</f>
        <v/>
      </c>
      <c r="B277" s="34">
        <f t="shared" si="11"/>
        <v>2</v>
      </c>
      <c r="C277" s="35">
        <f t="shared" si="12"/>
        <v>42424</v>
      </c>
      <c r="D277" s="212" t="s">
        <v>925</v>
      </c>
      <c r="E277" s="35">
        <v>42424</v>
      </c>
      <c r="F277" s="144" t="s">
        <v>412</v>
      </c>
      <c r="G277" s="191" t="s">
        <v>219</v>
      </c>
      <c r="H277" s="198"/>
      <c r="I277" s="186"/>
      <c r="J277" s="186"/>
      <c r="K277" s="185"/>
      <c r="L277" s="186"/>
      <c r="M277" s="36">
        <v>1800000</v>
      </c>
      <c r="N277" s="37"/>
      <c r="O277" s="37" t="s">
        <v>34</v>
      </c>
      <c r="P277" s="47" t="str">
        <f>IF(AND('331-CT'!$F$5=TH!H277,OR(N277="331",O277="331")),"x","")</f>
        <v/>
      </c>
      <c r="Q277" s="47" t="str">
        <f>IF(AND(B277='111'!$L$11,OR($N277=$Q$7,$O277=$Q$7)),"x","")</f>
        <v/>
      </c>
      <c r="R277" s="47" t="str">
        <f>IF(AND($N277=$Q$7,$B277&lt;'111'!$L$11),"x","")</f>
        <v/>
      </c>
      <c r="S277" s="47" t="str">
        <f>IF(AND($O277=$Q$7,$B277&lt;'111'!$L$11),"x","")</f>
        <v>x</v>
      </c>
    </row>
    <row r="278" spans="1:19" ht="15.75" customHeight="1">
      <c r="A278" s="152" t="str">
        <f>IF(B278&lt;&gt;"",IF(AND(B278='IN-TC'!$S$4,OR(TH!N278="1111",TH!O278="1111")),TH!D278,""),"")</f>
        <v/>
      </c>
      <c r="B278" s="34">
        <f t="shared" si="11"/>
        <v>2</v>
      </c>
      <c r="C278" s="35">
        <f t="shared" si="12"/>
        <v>42424</v>
      </c>
      <c r="D278" s="212" t="s">
        <v>926</v>
      </c>
      <c r="E278" s="35">
        <v>42424</v>
      </c>
      <c r="F278" s="144" t="s">
        <v>413</v>
      </c>
      <c r="G278" s="191" t="s">
        <v>104</v>
      </c>
      <c r="H278" s="198"/>
      <c r="I278" s="186"/>
      <c r="J278" s="186"/>
      <c r="K278" s="185"/>
      <c r="L278" s="186"/>
      <c r="M278" s="36">
        <v>32000000</v>
      </c>
      <c r="N278" s="37"/>
      <c r="O278" s="37" t="s">
        <v>34</v>
      </c>
      <c r="P278" s="47" t="str">
        <f>IF(AND('331-CT'!$F$5=TH!H278,OR(N278="331",O278="331")),"x","")</f>
        <v/>
      </c>
      <c r="Q278" s="47" t="str">
        <f>IF(AND(B278='111'!$L$11,OR($N278=$Q$7,$O278=$Q$7)),"x","")</f>
        <v/>
      </c>
      <c r="R278" s="47" t="str">
        <f>IF(AND($N278=$Q$7,$B278&lt;'111'!$L$11),"x","")</f>
        <v/>
      </c>
      <c r="S278" s="47" t="str">
        <f>IF(AND($O278=$Q$7,$B278&lt;'111'!$L$11),"x","")</f>
        <v>x</v>
      </c>
    </row>
    <row r="279" spans="1:19" ht="15.75" customHeight="1">
      <c r="A279" s="152" t="str">
        <f>IF(B279&lt;&gt;"",IF(AND(B279='IN-TC'!$S$4,OR(TH!N279="1111",TH!O279="1111")),TH!D279,""),"")</f>
        <v/>
      </c>
      <c r="B279" s="34">
        <f t="shared" si="11"/>
        <v>2</v>
      </c>
      <c r="C279" s="35">
        <f t="shared" si="12"/>
        <v>42424</v>
      </c>
      <c r="D279" s="212" t="s">
        <v>927</v>
      </c>
      <c r="E279" s="35">
        <v>42424</v>
      </c>
      <c r="F279" s="144" t="s">
        <v>414</v>
      </c>
      <c r="G279" s="191" t="s">
        <v>104</v>
      </c>
      <c r="H279" s="198"/>
      <c r="I279" s="186"/>
      <c r="J279" s="186"/>
      <c r="K279" s="185"/>
      <c r="L279" s="186"/>
      <c r="M279" s="36">
        <v>170000000</v>
      </c>
      <c r="N279" s="37"/>
      <c r="O279" s="37" t="s">
        <v>34</v>
      </c>
      <c r="P279" s="47" t="str">
        <f>IF(AND('331-CT'!$F$5=TH!H279,OR(N279="331",O279="331")),"x","")</f>
        <v/>
      </c>
      <c r="Q279" s="47" t="str">
        <f>IF(AND(B279='111'!$L$11,OR($N279=$Q$7,$O279=$Q$7)),"x","")</f>
        <v/>
      </c>
      <c r="R279" s="47" t="str">
        <f>IF(AND($N279=$Q$7,$B279&lt;'111'!$L$11),"x","")</f>
        <v/>
      </c>
      <c r="S279" s="47" t="str">
        <f>IF(AND($O279=$Q$7,$B279&lt;'111'!$L$11),"x","")</f>
        <v>x</v>
      </c>
    </row>
    <row r="280" spans="1:19" ht="15.75" customHeight="1">
      <c r="A280" s="152" t="str">
        <f>IF(B280&lt;&gt;"",IF(AND(B280='IN-TC'!$S$4,OR(TH!N280="1111",TH!O280="1111")),TH!D280,""),"")</f>
        <v/>
      </c>
      <c r="B280" s="34">
        <f t="shared" si="11"/>
        <v>2</v>
      </c>
      <c r="C280" s="35">
        <f t="shared" si="12"/>
        <v>42424</v>
      </c>
      <c r="D280" s="212" t="s">
        <v>928</v>
      </c>
      <c r="E280" s="35">
        <v>42424</v>
      </c>
      <c r="F280" s="144" t="s">
        <v>415</v>
      </c>
      <c r="G280" s="191" t="s">
        <v>111</v>
      </c>
      <c r="H280" s="198"/>
      <c r="I280" s="186"/>
      <c r="J280" s="186"/>
      <c r="K280" s="185"/>
      <c r="L280" s="186"/>
      <c r="M280" s="36">
        <v>480000</v>
      </c>
      <c r="N280" s="37"/>
      <c r="O280" s="37" t="s">
        <v>34</v>
      </c>
      <c r="P280" s="47" t="str">
        <f>IF(AND('331-CT'!$F$5=TH!H280,OR(N280="331",O280="331")),"x","")</f>
        <v/>
      </c>
      <c r="Q280" s="47" t="str">
        <f>IF(AND(B280='111'!$L$11,OR($N280=$Q$7,$O280=$Q$7)),"x","")</f>
        <v/>
      </c>
      <c r="R280" s="47" t="str">
        <f>IF(AND($N280=$Q$7,$B280&lt;'111'!$L$11),"x","")</f>
        <v/>
      </c>
      <c r="S280" s="47" t="str">
        <f>IF(AND($O280=$Q$7,$B280&lt;'111'!$L$11),"x","")</f>
        <v>x</v>
      </c>
    </row>
    <row r="281" spans="1:19" ht="15.75" customHeight="1">
      <c r="A281" s="152" t="str">
        <f>IF(B281&lt;&gt;"",IF(AND(B281='IN-TC'!$S$4,OR(TH!N281="1111",TH!O281="1111")),TH!D281,""),"")</f>
        <v/>
      </c>
      <c r="B281" s="34">
        <f t="shared" si="11"/>
        <v>2</v>
      </c>
      <c r="C281" s="35">
        <f t="shared" si="12"/>
        <v>42425</v>
      </c>
      <c r="D281" s="212" t="s">
        <v>1015</v>
      </c>
      <c r="E281" s="35">
        <v>42425</v>
      </c>
      <c r="F281" s="144" t="s">
        <v>142</v>
      </c>
      <c r="G281" s="191" t="s">
        <v>111</v>
      </c>
      <c r="H281" s="198"/>
      <c r="I281" s="186"/>
      <c r="J281" s="186"/>
      <c r="K281" s="185"/>
      <c r="L281" s="186"/>
      <c r="M281" s="36">
        <v>1800000</v>
      </c>
      <c r="N281" s="37" t="s">
        <v>34</v>
      </c>
      <c r="O281" s="37"/>
      <c r="P281" s="47" t="str">
        <f>IF(AND('331-CT'!$F$5=TH!H281,OR(N281="331",O281="331")),"x","")</f>
        <v/>
      </c>
      <c r="Q281" s="47" t="str">
        <f>IF(AND(B281='111'!$L$11,OR($N281=$Q$7,$O281=$Q$7)),"x","")</f>
        <v/>
      </c>
      <c r="R281" s="47" t="str">
        <f>IF(AND($N281=$Q$7,$B281&lt;'111'!$L$11),"x","")</f>
        <v>x</v>
      </c>
      <c r="S281" s="47" t="str">
        <f>IF(AND($O281=$Q$7,$B281&lt;'111'!$L$11),"x","")</f>
        <v/>
      </c>
    </row>
    <row r="282" spans="1:19" ht="15.75" customHeight="1">
      <c r="A282" s="152" t="str">
        <f>IF(B282&lt;&gt;"",IF(AND(B282='IN-TC'!$S$4,OR(TH!N282="1111",TH!O282="1111")),TH!D282,""),"")</f>
        <v/>
      </c>
      <c r="B282" s="34">
        <f t="shared" si="11"/>
        <v>2</v>
      </c>
      <c r="C282" s="35">
        <f t="shared" si="12"/>
        <v>42425</v>
      </c>
      <c r="D282" s="212" t="s">
        <v>929</v>
      </c>
      <c r="E282" s="35">
        <v>42425</v>
      </c>
      <c r="F282" s="144" t="s">
        <v>416</v>
      </c>
      <c r="G282" s="191" t="s">
        <v>110</v>
      </c>
      <c r="H282" s="198"/>
      <c r="I282" s="186"/>
      <c r="J282" s="186"/>
      <c r="K282" s="185"/>
      <c r="L282" s="186"/>
      <c r="M282" s="36">
        <v>5000000</v>
      </c>
      <c r="N282" s="37"/>
      <c r="O282" s="37" t="s">
        <v>34</v>
      </c>
      <c r="P282" s="47" t="str">
        <f>IF(AND('331-CT'!$F$5=TH!H282,OR(N282="331",O282="331")),"x","")</f>
        <v/>
      </c>
      <c r="Q282" s="47" t="str">
        <f>IF(AND(B282='111'!$L$11,OR($N282=$Q$7,$O282=$Q$7)),"x","")</f>
        <v/>
      </c>
      <c r="R282" s="47" t="str">
        <f>IF(AND($N282=$Q$7,$B282&lt;'111'!$L$11),"x","")</f>
        <v/>
      </c>
      <c r="S282" s="47" t="str">
        <f>IF(AND($O282=$Q$7,$B282&lt;'111'!$L$11),"x","")</f>
        <v>x</v>
      </c>
    </row>
    <row r="283" spans="1:19" ht="15.75" customHeight="1">
      <c r="A283" s="152" t="str">
        <f>IF(B283&lt;&gt;"",IF(AND(B283='IN-TC'!$S$4,OR(TH!N283="1111",TH!O283="1111")),TH!D283,""),"")</f>
        <v/>
      </c>
      <c r="B283" s="34">
        <f t="shared" si="11"/>
        <v>2</v>
      </c>
      <c r="C283" s="35">
        <f t="shared" si="12"/>
        <v>42425</v>
      </c>
      <c r="D283" s="212" t="s">
        <v>940</v>
      </c>
      <c r="E283" s="35">
        <v>42425</v>
      </c>
      <c r="F283" s="144" t="s">
        <v>417</v>
      </c>
      <c r="G283" s="191" t="s">
        <v>207</v>
      </c>
      <c r="H283" s="198"/>
      <c r="I283" s="186"/>
      <c r="J283" s="186"/>
      <c r="K283" s="185"/>
      <c r="L283" s="186"/>
      <c r="M283" s="36">
        <v>934000</v>
      </c>
      <c r="N283" s="37"/>
      <c r="O283" s="37" t="s">
        <v>34</v>
      </c>
      <c r="P283" s="47" t="str">
        <f>IF(AND('331-CT'!$F$5=TH!H283,OR(N283="331",O283="331")),"x","")</f>
        <v/>
      </c>
      <c r="Q283" s="47" t="str">
        <f>IF(AND(B283='111'!$L$11,OR($N283=$Q$7,$O283=$Q$7)),"x","")</f>
        <v/>
      </c>
      <c r="R283" s="47" t="str">
        <f>IF(AND($N283=$Q$7,$B283&lt;'111'!$L$11),"x","")</f>
        <v/>
      </c>
      <c r="S283" s="47" t="str">
        <f>IF(AND($O283=$Q$7,$B283&lt;'111'!$L$11),"x","")</f>
        <v>x</v>
      </c>
    </row>
    <row r="284" spans="1:19" ht="15.75" customHeight="1">
      <c r="A284" s="152" t="str">
        <f>IF(B284&lt;&gt;"",IF(AND(B284='IN-TC'!$S$4,OR(TH!N284="1111",TH!O284="1111")),TH!D284,""),"")</f>
        <v/>
      </c>
      <c r="B284" s="34">
        <f t="shared" si="11"/>
        <v>2</v>
      </c>
      <c r="C284" s="35">
        <f t="shared" si="12"/>
        <v>42426</v>
      </c>
      <c r="D284" s="212" t="s">
        <v>1029</v>
      </c>
      <c r="E284" s="35">
        <v>42426</v>
      </c>
      <c r="F284" s="144" t="s">
        <v>143</v>
      </c>
      <c r="G284" s="191" t="s">
        <v>110</v>
      </c>
      <c r="H284" s="198"/>
      <c r="I284" s="186"/>
      <c r="J284" s="186"/>
      <c r="K284" s="185"/>
      <c r="L284" s="186"/>
      <c r="M284" s="36">
        <v>500000</v>
      </c>
      <c r="N284" s="37" t="s">
        <v>34</v>
      </c>
      <c r="O284" s="37"/>
      <c r="P284" s="47" t="str">
        <f>IF(AND('331-CT'!$F$5=TH!H284,OR(N284="331",O284="331")),"x","")</f>
        <v/>
      </c>
      <c r="Q284" s="47" t="str">
        <f>IF(AND(B284='111'!$L$11,OR($N284=$Q$7,$O284=$Q$7)),"x","")</f>
        <v/>
      </c>
      <c r="R284" s="47" t="str">
        <f>IF(AND($N284=$Q$7,$B284&lt;'111'!$L$11),"x","")</f>
        <v>x</v>
      </c>
      <c r="S284" s="47" t="str">
        <f>IF(AND($O284=$Q$7,$B284&lt;'111'!$L$11),"x","")</f>
        <v/>
      </c>
    </row>
    <row r="285" spans="1:19" ht="15.75" customHeight="1">
      <c r="A285" s="152" t="str">
        <f>IF(B285&lt;&gt;"",IF(AND(B285='IN-TC'!$S$4,OR(TH!N285="1111",TH!O285="1111")),TH!D285,""),"")</f>
        <v/>
      </c>
      <c r="B285" s="34">
        <f t="shared" si="11"/>
        <v>2</v>
      </c>
      <c r="C285" s="35">
        <f t="shared" si="12"/>
        <v>42426</v>
      </c>
      <c r="D285" s="212" t="s">
        <v>941</v>
      </c>
      <c r="E285" s="35">
        <v>42426</v>
      </c>
      <c r="F285" s="144" t="s">
        <v>418</v>
      </c>
      <c r="G285" s="191" t="s">
        <v>204</v>
      </c>
      <c r="H285" s="198"/>
      <c r="I285" s="186"/>
      <c r="J285" s="186"/>
      <c r="K285" s="185"/>
      <c r="L285" s="186"/>
      <c r="M285" s="36">
        <v>308000</v>
      </c>
      <c r="N285" s="37"/>
      <c r="O285" s="37" t="s">
        <v>34</v>
      </c>
      <c r="P285" s="47" t="str">
        <f>IF(AND('331-CT'!$F$5=TH!H285,OR(N285="331",O285="331")),"x","")</f>
        <v/>
      </c>
      <c r="Q285" s="47" t="str">
        <f>IF(AND(B285='111'!$L$11,OR($N285=$Q$7,$O285=$Q$7)),"x","")</f>
        <v/>
      </c>
      <c r="R285" s="47" t="str">
        <f>IF(AND($N285=$Q$7,$B285&lt;'111'!$L$11),"x","")</f>
        <v/>
      </c>
      <c r="S285" s="47" t="str">
        <f>IF(AND($O285=$Q$7,$B285&lt;'111'!$L$11),"x","")</f>
        <v>x</v>
      </c>
    </row>
    <row r="286" spans="1:19" ht="15.75" customHeight="1">
      <c r="A286" s="152" t="str">
        <f>IF(B286&lt;&gt;"",IF(AND(B286='IN-TC'!$S$4,OR(TH!N286="1111",TH!O286="1111")),TH!D286,""),"")</f>
        <v/>
      </c>
      <c r="B286" s="34">
        <f t="shared" si="11"/>
        <v>2</v>
      </c>
      <c r="C286" s="35">
        <f t="shared" si="12"/>
        <v>42426</v>
      </c>
      <c r="D286" s="212" t="s">
        <v>942</v>
      </c>
      <c r="E286" s="35">
        <v>42426</v>
      </c>
      <c r="F286" s="144" t="s">
        <v>419</v>
      </c>
      <c r="G286" s="191" t="s">
        <v>202</v>
      </c>
      <c r="H286" s="198"/>
      <c r="I286" s="186"/>
      <c r="J286" s="186"/>
      <c r="K286" s="185"/>
      <c r="L286" s="186"/>
      <c r="M286" s="36">
        <v>767000</v>
      </c>
      <c r="N286" s="37"/>
      <c r="O286" s="37" t="s">
        <v>34</v>
      </c>
      <c r="P286" s="47" t="str">
        <f>IF(AND('331-CT'!$F$5=TH!H286,OR(N286="331",O286="331")),"x","")</f>
        <v/>
      </c>
      <c r="Q286" s="47" t="str">
        <f>IF(AND(B286='111'!$L$11,OR($N286=$Q$7,$O286=$Q$7)),"x","")</f>
        <v/>
      </c>
      <c r="R286" s="47" t="str">
        <f>IF(AND($N286=$Q$7,$B286&lt;'111'!$L$11),"x","")</f>
        <v/>
      </c>
      <c r="S286" s="47" t="str">
        <f>IF(AND($O286=$Q$7,$B286&lt;'111'!$L$11),"x","")</f>
        <v>x</v>
      </c>
    </row>
    <row r="287" spans="1:19" ht="15.75" customHeight="1">
      <c r="A287" s="152" t="str">
        <f>IF(B287&lt;&gt;"",IF(AND(B287='IN-TC'!$S$4,OR(TH!N287="1111",TH!O287="1111")),TH!D287,""),"")</f>
        <v/>
      </c>
      <c r="B287" s="34">
        <f t="shared" si="11"/>
        <v>2</v>
      </c>
      <c r="C287" s="35">
        <f t="shared" si="12"/>
        <v>42426</v>
      </c>
      <c r="D287" s="212" t="s">
        <v>943</v>
      </c>
      <c r="E287" s="35">
        <v>42426</v>
      </c>
      <c r="F287" s="144" t="s">
        <v>420</v>
      </c>
      <c r="G287" s="191" t="s">
        <v>209</v>
      </c>
      <c r="H287" s="198"/>
      <c r="I287" s="186"/>
      <c r="J287" s="186"/>
      <c r="K287" s="185"/>
      <c r="L287" s="186"/>
      <c r="M287" s="36">
        <v>2222000</v>
      </c>
      <c r="N287" s="37"/>
      <c r="O287" s="37" t="s">
        <v>34</v>
      </c>
      <c r="P287" s="47" t="str">
        <f>IF(AND('331-CT'!$F$5=TH!H287,OR(N287="331",O287="331")),"x","")</f>
        <v/>
      </c>
      <c r="Q287" s="47" t="str">
        <f>IF(AND(B287='111'!$L$11,OR($N287=$Q$7,$O287=$Q$7)),"x","")</f>
        <v/>
      </c>
      <c r="R287" s="47" t="str">
        <f>IF(AND($N287=$Q$7,$B287&lt;'111'!$L$11),"x","")</f>
        <v/>
      </c>
      <c r="S287" s="47" t="str">
        <f>IF(AND($O287=$Q$7,$B287&lt;'111'!$L$11),"x","")</f>
        <v>x</v>
      </c>
    </row>
    <row r="288" spans="1:19" ht="15.75" customHeight="1">
      <c r="A288" s="152" t="str">
        <f>IF(B288&lt;&gt;"",IF(AND(B288='IN-TC'!$S$4,OR(TH!N288="1111",TH!O288="1111")),TH!D288,""),"")</f>
        <v/>
      </c>
      <c r="B288" s="34">
        <f t="shared" si="11"/>
        <v>2</v>
      </c>
      <c r="C288" s="35">
        <f t="shared" si="12"/>
        <v>42426</v>
      </c>
      <c r="D288" s="212" t="s">
        <v>944</v>
      </c>
      <c r="E288" s="35">
        <v>42426</v>
      </c>
      <c r="F288" s="144" t="s">
        <v>421</v>
      </c>
      <c r="G288" s="191" t="s">
        <v>214</v>
      </c>
      <c r="H288" s="198"/>
      <c r="I288" s="186"/>
      <c r="J288" s="186"/>
      <c r="K288" s="185"/>
      <c r="L288" s="186"/>
      <c r="M288" s="36">
        <v>130000</v>
      </c>
      <c r="N288" s="37"/>
      <c r="O288" s="37" t="s">
        <v>34</v>
      </c>
      <c r="P288" s="47" t="str">
        <f>IF(AND('331-CT'!$F$5=TH!H288,OR(N288="331",O288="331")),"x","")</f>
        <v/>
      </c>
      <c r="Q288" s="47" t="str">
        <f>IF(AND(B288='111'!$L$11,OR($N288=$Q$7,$O288=$Q$7)),"x","")</f>
        <v/>
      </c>
      <c r="R288" s="47" t="str">
        <f>IF(AND($N288=$Q$7,$B288&lt;'111'!$L$11),"x","")</f>
        <v/>
      </c>
      <c r="S288" s="47" t="str">
        <f>IF(AND($O288=$Q$7,$B288&lt;'111'!$L$11),"x","")</f>
        <v>x</v>
      </c>
    </row>
    <row r="289" spans="1:19" ht="15.75" customHeight="1">
      <c r="A289" s="152" t="str">
        <f>IF(B289&lt;&gt;"",IF(AND(B289='IN-TC'!$S$4,OR(TH!N289="1111",TH!O289="1111")),TH!D289,""),"")</f>
        <v/>
      </c>
      <c r="B289" s="34">
        <f t="shared" si="11"/>
        <v>2</v>
      </c>
      <c r="C289" s="35">
        <f t="shared" si="12"/>
        <v>42426</v>
      </c>
      <c r="D289" s="212" t="s">
        <v>945</v>
      </c>
      <c r="E289" s="35">
        <v>42426</v>
      </c>
      <c r="F289" s="144" t="s">
        <v>422</v>
      </c>
      <c r="G289" s="191" t="s">
        <v>202</v>
      </c>
      <c r="H289" s="198"/>
      <c r="I289" s="186"/>
      <c r="J289" s="186"/>
      <c r="K289" s="185"/>
      <c r="L289" s="186"/>
      <c r="M289" s="36">
        <v>2100000</v>
      </c>
      <c r="N289" s="37"/>
      <c r="O289" s="37" t="s">
        <v>34</v>
      </c>
      <c r="P289" s="47" t="str">
        <f>IF(AND('331-CT'!$F$5=TH!H289,OR(N289="331",O289="331")),"x","")</f>
        <v/>
      </c>
      <c r="Q289" s="47" t="str">
        <f>IF(AND(B289='111'!$L$11,OR($N289=$Q$7,$O289=$Q$7)),"x","")</f>
        <v/>
      </c>
      <c r="R289" s="47" t="str">
        <f>IF(AND($N289=$Q$7,$B289&lt;'111'!$L$11),"x","")</f>
        <v/>
      </c>
      <c r="S289" s="47" t="str">
        <f>IF(AND($O289=$Q$7,$B289&lt;'111'!$L$11),"x","")</f>
        <v>x</v>
      </c>
    </row>
    <row r="290" spans="1:19" ht="15.75" customHeight="1">
      <c r="A290" s="152" t="str">
        <f>IF(B290&lt;&gt;"",IF(AND(B290='IN-TC'!$S$4,OR(TH!N290="1111",TH!O290="1111")),TH!D290,""),"")</f>
        <v/>
      </c>
      <c r="B290" s="34">
        <f t="shared" si="11"/>
        <v>2</v>
      </c>
      <c r="C290" s="35">
        <f t="shared" si="12"/>
        <v>42427</v>
      </c>
      <c r="D290" s="212" t="s">
        <v>1030</v>
      </c>
      <c r="E290" s="35">
        <v>42427</v>
      </c>
      <c r="F290" s="144" t="s">
        <v>144</v>
      </c>
      <c r="G290" s="191" t="s">
        <v>106</v>
      </c>
      <c r="H290" s="198"/>
      <c r="I290" s="186"/>
      <c r="J290" s="186"/>
      <c r="K290" s="185"/>
      <c r="L290" s="186"/>
      <c r="M290" s="36">
        <v>31350000</v>
      </c>
      <c r="N290" s="37" t="s">
        <v>34</v>
      </c>
      <c r="O290" s="37"/>
      <c r="P290" s="47" t="str">
        <f>IF(AND('331-CT'!$F$5=TH!H290,OR(N290="331",O290="331")),"x","")</f>
        <v/>
      </c>
      <c r="Q290" s="47" t="str">
        <f>IF(AND(B290='111'!$L$11,OR($N290=$Q$7,$O290=$Q$7)),"x","")</f>
        <v/>
      </c>
      <c r="R290" s="47" t="str">
        <f>IF(AND($N290=$Q$7,$B290&lt;'111'!$L$11),"x","")</f>
        <v>x</v>
      </c>
      <c r="S290" s="47" t="str">
        <f>IF(AND($O290=$Q$7,$B290&lt;'111'!$L$11),"x","")</f>
        <v/>
      </c>
    </row>
    <row r="291" spans="1:19" ht="15.75" customHeight="1">
      <c r="A291" s="152" t="str">
        <f>IF(B291&lt;&gt;"",IF(AND(B291='IN-TC'!$S$4,OR(TH!N291="1111",TH!O291="1111")),TH!D291,""),"")</f>
        <v/>
      </c>
      <c r="B291" s="34">
        <f t="shared" si="11"/>
        <v>2</v>
      </c>
      <c r="C291" s="35">
        <f t="shared" si="12"/>
        <v>42427</v>
      </c>
      <c r="D291" s="212" t="s">
        <v>1031</v>
      </c>
      <c r="E291" s="35">
        <v>42427</v>
      </c>
      <c r="F291" s="144" t="s">
        <v>145</v>
      </c>
      <c r="G291" s="191" t="s">
        <v>109</v>
      </c>
      <c r="H291" s="198"/>
      <c r="I291" s="186"/>
      <c r="J291" s="186"/>
      <c r="K291" s="185"/>
      <c r="L291" s="186"/>
      <c r="M291" s="36">
        <v>122000000</v>
      </c>
      <c r="N291" s="37" t="s">
        <v>34</v>
      </c>
      <c r="O291" s="37"/>
      <c r="P291" s="47" t="str">
        <f>IF(AND('331-CT'!$F$5=TH!H291,OR(N291="331",O291="331")),"x","")</f>
        <v/>
      </c>
      <c r="Q291" s="47" t="str">
        <f>IF(AND(B291='111'!$L$11,OR($N291=$Q$7,$O291=$Q$7)),"x","")</f>
        <v/>
      </c>
      <c r="R291" s="47" t="str">
        <f>IF(AND($N291=$Q$7,$B291&lt;'111'!$L$11),"x","")</f>
        <v>x</v>
      </c>
      <c r="S291" s="47" t="str">
        <f>IF(AND($O291=$Q$7,$B291&lt;'111'!$L$11),"x","")</f>
        <v/>
      </c>
    </row>
    <row r="292" spans="1:19" ht="15.75" customHeight="1">
      <c r="A292" s="152" t="str">
        <f>IF(B292&lt;&gt;"",IF(AND(B292='IN-TC'!$S$4,OR(TH!N292="1111",TH!O292="1111")),TH!D292,""),"")</f>
        <v/>
      </c>
      <c r="B292" s="34">
        <f t="shared" si="11"/>
        <v>2</v>
      </c>
      <c r="C292" s="35">
        <f t="shared" si="12"/>
        <v>42427</v>
      </c>
      <c r="D292" s="212" t="s">
        <v>946</v>
      </c>
      <c r="E292" s="35">
        <v>42427</v>
      </c>
      <c r="F292" s="144" t="s">
        <v>423</v>
      </c>
      <c r="G292" s="191" t="s">
        <v>202</v>
      </c>
      <c r="H292" s="198"/>
      <c r="I292" s="186"/>
      <c r="J292" s="186"/>
      <c r="K292" s="185"/>
      <c r="L292" s="186"/>
      <c r="M292" s="36">
        <v>250000</v>
      </c>
      <c r="N292" s="37"/>
      <c r="O292" s="37" t="s">
        <v>34</v>
      </c>
      <c r="P292" s="47" t="str">
        <f>IF(AND('331-CT'!$F$5=TH!H292,OR(N292="331",O292="331")),"x","")</f>
        <v/>
      </c>
      <c r="Q292" s="47" t="str">
        <f>IF(AND(B292='111'!$L$11,OR($N292=$Q$7,$O292=$Q$7)),"x","")</f>
        <v/>
      </c>
      <c r="R292" s="47" t="str">
        <f>IF(AND($N292=$Q$7,$B292&lt;'111'!$L$11),"x","")</f>
        <v/>
      </c>
      <c r="S292" s="47" t="str">
        <f>IF(AND($O292=$Q$7,$B292&lt;'111'!$L$11),"x","")</f>
        <v>x</v>
      </c>
    </row>
    <row r="293" spans="1:19" ht="15.75" customHeight="1">
      <c r="A293" s="152" t="str">
        <f>IF(B293&lt;&gt;"",IF(AND(B293='IN-TC'!$S$4,OR(TH!N293="1111",TH!O293="1111")),TH!D293,""),"")</f>
        <v/>
      </c>
      <c r="B293" s="34">
        <f t="shared" si="11"/>
        <v>2</v>
      </c>
      <c r="C293" s="35">
        <f t="shared" si="12"/>
        <v>42429</v>
      </c>
      <c r="D293" s="212" t="s">
        <v>1032</v>
      </c>
      <c r="E293" s="35">
        <v>42429</v>
      </c>
      <c r="F293" s="144" t="s">
        <v>146</v>
      </c>
      <c r="G293" s="191" t="s">
        <v>105</v>
      </c>
      <c r="H293" s="198" t="s">
        <v>1416</v>
      </c>
      <c r="I293" s="186"/>
      <c r="J293" s="186"/>
      <c r="K293" s="185"/>
      <c r="L293" s="186"/>
      <c r="M293" s="36">
        <v>500000000</v>
      </c>
      <c r="N293" s="37" t="s">
        <v>34</v>
      </c>
      <c r="O293" s="37" t="s">
        <v>812</v>
      </c>
      <c r="P293" s="47" t="str">
        <f>IF(AND('331-CT'!$F$5=TH!H293,OR(N293="331",O293="331")),"x","")</f>
        <v/>
      </c>
      <c r="Q293" s="47" t="str">
        <f>IF(AND(B293='111'!$L$11,OR($N293=$Q$7,$O293=$Q$7)),"x","")</f>
        <v/>
      </c>
      <c r="R293" s="47" t="str">
        <f>IF(AND($N293=$Q$7,$B293&lt;'111'!$L$11),"x","")</f>
        <v>x</v>
      </c>
      <c r="S293" s="47" t="str">
        <f>IF(AND($O293=$Q$7,$B293&lt;'111'!$L$11),"x","")</f>
        <v/>
      </c>
    </row>
    <row r="294" spans="1:19" ht="15.75" customHeight="1">
      <c r="A294" s="152" t="str">
        <f>IF(B294&lt;&gt;"",IF(AND(B294='IN-TC'!$S$4,OR(TH!N294="1111",TH!O294="1111")),TH!D294,""),"")</f>
        <v/>
      </c>
      <c r="B294" s="34">
        <f t="shared" si="11"/>
        <v>2</v>
      </c>
      <c r="C294" s="35">
        <f t="shared" si="12"/>
        <v>42429</v>
      </c>
      <c r="D294" s="212" t="s">
        <v>947</v>
      </c>
      <c r="E294" s="35">
        <v>42429</v>
      </c>
      <c r="F294" s="144" t="s">
        <v>424</v>
      </c>
      <c r="G294" s="191" t="s">
        <v>207</v>
      </c>
      <c r="H294" s="198"/>
      <c r="I294" s="186"/>
      <c r="J294" s="186"/>
      <c r="K294" s="185"/>
      <c r="L294" s="186"/>
      <c r="M294" s="36">
        <v>4322000</v>
      </c>
      <c r="N294" s="37"/>
      <c r="O294" s="37" t="s">
        <v>34</v>
      </c>
      <c r="P294" s="47" t="str">
        <f>IF(AND('331-CT'!$F$5=TH!H294,OR(N294="331",O294="331")),"x","")</f>
        <v/>
      </c>
      <c r="Q294" s="47" t="str">
        <f>IF(AND(B294='111'!$L$11,OR($N294=$Q$7,$O294=$Q$7)),"x","")</f>
        <v/>
      </c>
      <c r="R294" s="47" t="str">
        <f>IF(AND($N294=$Q$7,$B294&lt;'111'!$L$11),"x","")</f>
        <v/>
      </c>
      <c r="S294" s="47" t="str">
        <f>IF(AND($O294=$Q$7,$B294&lt;'111'!$L$11),"x","")</f>
        <v>x</v>
      </c>
    </row>
    <row r="295" spans="1:19" ht="15.75" customHeight="1">
      <c r="A295" s="152" t="str">
        <f>IF(B295&lt;&gt;"",IF(AND(B295='IN-TC'!$S$4,OR(TH!N295="1111",TH!O295="1111")),TH!D295,""),"")</f>
        <v/>
      </c>
      <c r="B295" s="34">
        <f t="shared" si="11"/>
        <v>2</v>
      </c>
      <c r="C295" s="35">
        <f t="shared" si="12"/>
        <v>42429</v>
      </c>
      <c r="D295" s="212" t="s">
        <v>948</v>
      </c>
      <c r="E295" s="35">
        <v>42429</v>
      </c>
      <c r="F295" s="144" t="s">
        <v>425</v>
      </c>
      <c r="G295" s="191" t="s">
        <v>208</v>
      </c>
      <c r="H295" s="198"/>
      <c r="I295" s="186"/>
      <c r="J295" s="186"/>
      <c r="K295" s="185"/>
      <c r="L295" s="186"/>
      <c r="M295" s="36">
        <v>4493000</v>
      </c>
      <c r="N295" s="37"/>
      <c r="O295" s="37" t="s">
        <v>34</v>
      </c>
      <c r="P295" s="47" t="str">
        <f>IF(AND('331-CT'!$F$5=TH!H295,OR(N295="331",O295="331")),"x","")</f>
        <v/>
      </c>
      <c r="Q295" s="47" t="str">
        <f>IF(AND(B295='111'!$L$11,OR($N295=$Q$7,$O295=$Q$7)),"x","")</f>
        <v/>
      </c>
      <c r="R295" s="47" t="str">
        <f>IF(AND($N295=$Q$7,$B295&lt;'111'!$L$11),"x","")</f>
        <v/>
      </c>
      <c r="S295" s="47" t="str">
        <f>IF(AND($O295=$Q$7,$B295&lt;'111'!$L$11),"x","")</f>
        <v>x</v>
      </c>
    </row>
    <row r="296" spans="1:19" ht="15.75" customHeight="1">
      <c r="A296" s="152" t="str">
        <f>IF(B296&lt;&gt;"",IF(AND(B296='IN-TC'!$S$4,OR(TH!N296="1111",TH!O296="1111")),TH!D296,""),"")</f>
        <v/>
      </c>
      <c r="B296" s="34">
        <f t="shared" si="11"/>
        <v>2</v>
      </c>
      <c r="C296" s="35">
        <f t="shared" si="12"/>
        <v>42429</v>
      </c>
      <c r="D296" s="212" t="s">
        <v>949</v>
      </c>
      <c r="E296" s="35">
        <v>42429</v>
      </c>
      <c r="F296" s="144" t="s">
        <v>426</v>
      </c>
      <c r="G296" s="191" t="s">
        <v>111</v>
      </c>
      <c r="H296" s="198"/>
      <c r="I296" s="186"/>
      <c r="J296" s="186"/>
      <c r="K296" s="185"/>
      <c r="L296" s="186"/>
      <c r="M296" s="36">
        <v>3000000</v>
      </c>
      <c r="N296" s="37"/>
      <c r="O296" s="37" t="s">
        <v>34</v>
      </c>
      <c r="P296" s="47" t="str">
        <f>IF(AND('331-CT'!$F$5=TH!H296,OR(N296="331",O296="331")),"x","")</f>
        <v/>
      </c>
      <c r="Q296" s="47" t="str">
        <f>IF(AND(B296='111'!$L$11,OR($N296=$Q$7,$O296=$Q$7)),"x","")</f>
        <v/>
      </c>
      <c r="R296" s="47" t="str">
        <f>IF(AND($N296=$Q$7,$B296&lt;'111'!$L$11),"x","")</f>
        <v/>
      </c>
      <c r="S296" s="47" t="str">
        <f>IF(AND($O296=$Q$7,$B296&lt;'111'!$L$11),"x","")</f>
        <v>x</v>
      </c>
    </row>
    <row r="297" spans="1:19" ht="15.75" customHeight="1">
      <c r="A297" s="152" t="str">
        <f>IF(B297&lt;&gt;"",IF(AND(B297='IN-TC'!$S$4,OR(TH!N297="1111",TH!O297="1111")),TH!D297,""),"")</f>
        <v/>
      </c>
      <c r="B297" s="34">
        <f t="shared" si="11"/>
        <v>2</v>
      </c>
      <c r="C297" s="35">
        <f t="shared" si="12"/>
        <v>42429</v>
      </c>
      <c r="D297" s="212" t="s">
        <v>950</v>
      </c>
      <c r="E297" s="35">
        <v>42429</v>
      </c>
      <c r="F297" s="144" t="s">
        <v>427</v>
      </c>
      <c r="G297" s="191" t="s">
        <v>221</v>
      </c>
      <c r="H297" s="198"/>
      <c r="I297" s="186"/>
      <c r="J297" s="186"/>
      <c r="K297" s="185"/>
      <c r="L297" s="186"/>
      <c r="M297" s="36">
        <v>1867000</v>
      </c>
      <c r="N297" s="37"/>
      <c r="O297" s="37" t="s">
        <v>34</v>
      </c>
      <c r="P297" s="47" t="str">
        <f>IF(AND('331-CT'!$F$5=TH!H297,OR(N297="331",O297="331")),"x","")</f>
        <v/>
      </c>
      <c r="Q297" s="47" t="str">
        <f>IF(AND(B297='111'!$L$11,OR($N297=$Q$7,$O297=$Q$7)),"x","")</f>
        <v/>
      </c>
      <c r="R297" s="47" t="str">
        <f>IF(AND($N297=$Q$7,$B297&lt;'111'!$L$11),"x","")</f>
        <v/>
      </c>
      <c r="S297" s="47" t="str">
        <f>IF(AND($O297=$Q$7,$B297&lt;'111'!$L$11),"x","")</f>
        <v>x</v>
      </c>
    </row>
    <row r="298" spans="1:19" ht="15.75" customHeight="1">
      <c r="A298" s="152" t="str">
        <f>IF(B298&lt;&gt;"",IF(AND(B298='IN-TC'!$S$4,OR(TH!N298="1111",TH!O298="1111")),TH!D298,""),"")</f>
        <v/>
      </c>
      <c r="B298" s="34">
        <f t="shared" si="11"/>
        <v>2</v>
      </c>
      <c r="C298" s="35">
        <f t="shared" si="12"/>
        <v>42429</v>
      </c>
      <c r="D298" s="212" t="s">
        <v>951</v>
      </c>
      <c r="E298" s="35">
        <v>42429</v>
      </c>
      <c r="F298" s="144" t="s">
        <v>244</v>
      </c>
      <c r="G298" s="191" t="s">
        <v>206</v>
      </c>
      <c r="H298" s="198" t="s">
        <v>828</v>
      </c>
      <c r="I298" s="186"/>
      <c r="J298" s="186"/>
      <c r="K298" s="185"/>
      <c r="L298" s="186"/>
      <c r="M298" s="36">
        <v>83894000</v>
      </c>
      <c r="N298" s="37" t="s">
        <v>8</v>
      </c>
      <c r="O298" s="37" t="s">
        <v>34</v>
      </c>
      <c r="P298" s="47" t="str">
        <f>IF(AND('331-CT'!$F$5=TH!H298,OR(N298="331",O298="331")),"x","")</f>
        <v/>
      </c>
      <c r="Q298" s="47" t="str">
        <f>IF(AND(B298='111'!$L$11,OR($N298=$Q$7,$O298=$Q$7)),"x","")</f>
        <v/>
      </c>
      <c r="R298" s="47" t="str">
        <f>IF(AND($N298=$Q$7,$B298&lt;'111'!$L$11),"x","")</f>
        <v/>
      </c>
      <c r="S298" s="47" t="str">
        <f>IF(AND($O298=$Q$7,$B298&lt;'111'!$L$11),"x","")</f>
        <v>x</v>
      </c>
    </row>
    <row r="299" spans="1:19" ht="15.75" customHeight="1">
      <c r="A299" s="152" t="str">
        <f>IF(B299&lt;&gt;"",IF(AND(B299='IN-TC'!$S$4,OR(TH!N299="1111",TH!O299="1111")),TH!D299,""),"")</f>
        <v/>
      </c>
      <c r="B299" s="34">
        <f t="shared" si="11"/>
        <v>2</v>
      </c>
      <c r="C299" s="35">
        <f t="shared" si="12"/>
        <v>42429</v>
      </c>
      <c r="D299" s="212" t="s">
        <v>951</v>
      </c>
      <c r="E299" s="35">
        <v>42429</v>
      </c>
      <c r="F299" s="144" t="s">
        <v>1424</v>
      </c>
      <c r="G299" s="191"/>
      <c r="H299" s="198"/>
      <c r="I299" s="186"/>
      <c r="J299" s="186"/>
      <c r="K299" s="185"/>
      <c r="L299" s="186"/>
      <c r="M299" s="36">
        <v>6000</v>
      </c>
      <c r="N299" s="37" t="s">
        <v>1425</v>
      </c>
      <c r="O299" s="37" t="s">
        <v>34</v>
      </c>
      <c r="P299" s="47" t="str">
        <f>IF(AND('331-CT'!$F$5=TH!H299,OR(N299="331",O299="331")),"x","")</f>
        <v/>
      </c>
      <c r="Q299" s="47" t="str">
        <f>IF(AND(B299='111'!$L$11,OR($N299=$Q$7,$O299=$Q$7)),"x","")</f>
        <v/>
      </c>
      <c r="R299" s="47" t="str">
        <f>IF(AND($N299=$Q$7,$B299&lt;'111'!$L$11),"x","")</f>
        <v/>
      </c>
      <c r="S299" s="47" t="str">
        <f>IF(AND($O299=$Q$7,$B299&lt;'111'!$L$11),"x","")</f>
        <v>x</v>
      </c>
    </row>
    <row r="300" spans="1:19" ht="15.75" customHeight="1">
      <c r="A300" s="152" t="str">
        <f>IF(B300&lt;&gt;"",IF(AND(B300='IN-TC'!$S$4,OR(TH!N300="1111",TH!O300="1111")),TH!D300,""),"")</f>
        <v/>
      </c>
      <c r="B300" s="34">
        <f t="shared" si="11"/>
        <v>2</v>
      </c>
      <c r="C300" s="35">
        <f t="shared" si="12"/>
        <v>42429</v>
      </c>
      <c r="D300" s="212" t="s">
        <v>952</v>
      </c>
      <c r="E300" s="35">
        <v>42429</v>
      </c>
      <c r="F300" s="144" t="s">
        <v>428</v>
      </c>
      <c r="G300" s="191" t="s">
        <v>212</v>
      </c>
      <c r="H300" s="198"/>
      <c r="I300" s="186"/>
      <c r="J300" s="186"/>
      <c r="K300" s="185"/>
      <c r="L300" s="186"/>
      <c r="M300" s="36">
        <v>5011000</v>
      </c>
      <c r="N300" s="37"/>
      <c r="O300" s="37" t="s">
        <v>34</v>
      </c>
      <c r="P300" s="47" t="str">
        <f>IF(AND('331-CT'!$F$5=TH!H300,OR(N300="331",O300="331")),"x","")</f>
        <v/>
      </c>
      <c r="Q300" s="47" t="str">
        <f>IF(AND(B300='111'!$L$11,OR($N300=$Q$7,$O300=$Q$7)),"x","")</f>
        <v/>
      </c>
      <c r="R300" s="47" t="str">
        <f>IF(AND($N300=$Q$7,$B300&lt;'111'!$L$11),"x","")</f>
        <v/>
      </c>
      <c r="S300" s="47" t="str">
        <f>IF(AND($O300=$Q$7,$B300&lt;'111'!$L$11),"x","")</f>
        <v>x</v>
      </c>
    </row>
    <row r="301" spans="1:19" ht="15.75" customHeight="1">
      <c r="A301" s="152" t="str">
        <f>IF(B301&lt;&gt;"",IF(AND(B301='IN-TC'!$S$4,OR(TH!N301="1111",TH!O301="1111")),TH!D301,""),"")</f>
        <v/>
      </c>
      <c r="B301" s="34">
        <f t="shared" si="11"/>
        <v>2</v>
      </c>
      <c r="C301" s="35">
        <f t="shared" si="12"/>
        <v>42429</v>
      </c>
      <c r="D301" s="212" t="s">
        <v>953</v>
      </c>
      <c r="E301" s="35">
        <v>42429</v>
      </c>
      <c r="F301" s="144" t="s">
        <v>348</v>
      </c>
      <c r="G301" s="191" t="s">
        <v>206</v>
      </c>
      <c r="H301" s="198" t="s">
        <v>834</v>
      </c>
      <c r="I301" s="186"/>
      <c r="J301" s="186"/>
      <c r="K301" s="185"/>
      <c r="L301" s="186"/>
      <c r="M301" s="36">
        <v>150000000</v>
      </c>
      <c r="N301" s="37" t="s">
        <v>8</v>
      </c>
      <c r="O301" s="37" t="s">
        <v>34</v>
      </c>
      <c r="P301" s="47" t="str">
        <f>IF(AND('331-CT'!$F$5=TH!H301,OR(N301="331",O301="331")),"x","")</f>
        <v/>
      </c>
      <c r="Q301" s="47" t="str">
        <f>IF(AND(B301='111'!$L$11,OR($N301=$Q$7,$O301=$Q$7)),"x","")</f>
        <v/>
      </c>
      <c r="R301" s="47" t="str">
        <f>IF(AND($N301=$Q$7,$B301&lt;'111'!$L$11),"x","")</f>
        <v/>
      </c>
      <c r="S301" s="47" t="str">
        <f>IF(AND($O301=$Q$7,$B301&lt;'111'!$L$11),"x","")</f>
        <v>x</v>
      </c>
    </row>
    <row r="302" spans="1:19" ht="15.75" customHeight="1">
      <c r="A302" s="152" t="str">
        <f>IF(B302&lt;&gt;"",IF(AND(B302='IN-TC'!$S$4,OR(TH!N302="1111",TH!O302="1111")),TH!D302,""),"")</f>
        <v/>
      </c>
      <c r="B302" s="34">
        <f t="shared" si="11"/>
        <v>2</v>
      </c>
      <c r="C302" s="35">
        <f t="shared" si="12"/>
        <v>42429</v>
      </c>
      <c r="D302" s="212" t="s">
        <v>953</v>
      </c>
      <c r="E302" s="35">
        <v>42429</v>
      </c>
      <c r="F302" s="144" t="s">
        <v>1424</v>
      </c>
      <c r="G302" s="191"/>
      <c r="H302" s="198"/>
      <c r="I302" s="186"/>
      <c r="J302" s="186"/>
      <c r="K302" s="185"/>
      <c r="L302" s="186"/>
      <c r="M302" s="36">
        <v>45000</v>
      </c>
      <c r="N302" s="37" t="s">
        <v>1425</v>
      </c>
      <c r="O302" s="37" t="s">
        <v>34</v>
      </c>
      <c r="P302" s="47" t="str">
        <f>IF(AND('331-CT'!$F$5=TH!H302,OR(N302="331",O302="331")),"x","")</f>
        <v/>
      </c>
      <c r="Q302" s="47" t="str">
        <f>IF(AND(B302='111'!$L$11,OR($N302=$Q$7,$O302=$Q$7)),"x","")</f>
        <v/>
      </c>
      <c r="R302" s="47" t="str">
        <f>IF(AND($N302=$Q$7,$B302&lt;'111'!$L$11),"x","")</f>
        <v/>
      </c>
      <c r="S302" s="47" t="str">
        <f>IF(AND($O302=$Q$7,$B302&lt;'111'!$L$11),"x","")</f>
        <v>x</v>
      </c>
    </row>
    <row r="303" spans="1:19" ht="15.75" customHeight="1">
      <c r="A303" s="152" t="str">
        <f>IF(B303&lt;&gt;"",IF(AND(B303='IN-TC'!$S$4,OR(TH!N303="1111",TH!O303="1111")),TH!D303,""),"")</f>
        <v/>
      </c>
      <c r="B303" s="34">
        <f t="shared" si="11"/>
        <v>2</v>
      </c>
      <c r="C303" s="35">
        <f t="shared" si="12"/>
        <v>42429</v>
      </c>
      <c r="D303" s="212" t="s">
        <v>954</v>
      </c>
      <c r="E303" s="35">
        <v>42429</v>
      </c>
      <c r="F303" s="144" t="s">
        <v>429</v>
      </c>
      <c r="G303" s="191" t="s">
        <v>206</v>
      </c>
      <c r="H303" s="198" t="s">
        <v>823</v>
      </c>
      <c r="I303" s="186"/>
      <c r="J303" s="186"/>
      <c r="K303" s="185"/>
      <c r="L303" s="186"/>
      <c r="M303" s="36">
        <v>104026000</v>
      </c>
      <c r="N303" s="37" t="s">
        <v>8</v>
      </c>
      <c r="O303" s="37" t="s">
        <v>34</v>
      </c>
      <c r="P303" s="47" t="str">
        <f>IF(AND('331-CT'!$F$5=TH!H303,OR(N303="331",O303="331")),"x","")</f>
        <v/>
      </c>
      <c r="Q303" s="47" t="str">
        <f>IF(AND(B303='111'!$L$11,OR($N303=$Q$7,$O303=$Q$7)),"x","")</f>
        <v/>
      </c>
      <c r="R303" s="47" t="str">
        <f>IF(AND($N303=$Q$7,$B303&lt;'111'!$L$11),"x","")</f>
        <v/>
      </c>
      <c r="S303" s="47" t="str">
        <f>IF(AND($O303=$Q$7,$B303&lt;'111'!$L$11),"x","")</f>
        <v>x</v>
      </c>
    </row>
    <row r="304" spans="1:19" ht="15.75" customHeight="1">
      <c r="A304" s="152" t="str">
        <f>IF(B304&lt;&gt;"",IF(AND(B304='IN-TC'!$S$4,OR(TH!N304="1111",TH!O304="1111")),TH!D304,""),"")</f>
        <v/>
      </c>
      <c r="B304" s="34">
        <f t="shared" si="11"/>
        <v>2</v>
      </c>
      <c r="C304" s="35">
        <f t="shared" si="12"/>
        <v>42429</v>
      </c>
      <c r="D304" s="212" t="s">
        <v>955</v>
      </c>
      <c r="E304" s="35">
        <v>42429</v>
      </c>
      <c r="F304" s="144" t="s">
        <v>299</v>
      </c>
      <c r="G304" s="191" t="s">
        <v>206</v>
      </c>
      <c r="H304" s="198" t="s">
        <v>846</v>
      </c>
      <c r="I304" s="186"/>
      <c r="J304" s="186"/>
      <c r="K304" s="185"/>
      <c r="L304" s="186"/>
      <c r="M304" s="36">
        <v>71014000</v>
      </c>
      <c r="N304" s="37" t="s">
        <v>8</v>
      </c>
      <c r="O304" s="37" t="s">
        <v>34</v>
      </c>
      <c r="P304" s="47" t="str">
        <f>IF(AND('331-CT'!$F$5=TH!H304,OR(N304="331",O304="331")),"x","")</f>
        <v/>
      </c>
      <c r="Q304" s="47" t="str">
        <f>IF(AND(B304='111'!$L$11,OR($N304=$Q$7,$O304=$Q$7)),"x","")</f>
        <v/>
      </c>
      <c r="R304" s="47" t="str">
        <f>IF(AND($N304=$Q$7,$B304&lt;'111'!$L$11),"x","")</f>
        <v/>
      </c>
      <c r="S304" s="47" t="str">
        <f>IF(AND($O304=$Q$7,$B304&lt;'111'!$L$11),"x","")</f>
        <v>x</v>
      </c>
    </row>
    <row r="305" spans="1:19" ht="15.75" customHeight="1">
      <c r="A305" s="152" t="str">
        <f>IF(B305&lt;&gt;"",IF(AND(B305='IN-TC'!$S$4,OR(TH!N305="1111",TH!O305="1111")),TH!D305,""),"")</f>
        <v/>
      </c>
      <c r="B305" s="34">
        <f t="shared" si="11"/>
        <v>2</v>
      </c>
      <c r="C305" s="35">
        <f t="shared" si="12"/>
        <v>42429</v>
      </c>
      <c r="D305" s="212" t="s">
        <v>956</v>
      </c>
      <c r="E305" s="35">
        <v>42429</v>
      </c>
      <c r="F305" s="144" t="s">
        <v>430</v>
      </c>
      <c r="G305" s="191" t="s">
        <v>111</v>
      </c>
      <c r="H305" s="198"/>
      <c r="I305" s="186"/>
      <c r="J305" s="186"/>
      <c r="K305" s="185"/>
      <c r="L305" s="186"/>
      <c r="M305" s="36">
        <v>4000000</v>
      </c>
      <c r="N305" s="37"/>
      <c r="O305" s="37" t="s">
        <v>34</v>
      </c>
      <c r="P305" s="47" t="str">
        <f>IF(AND('331-CT'!$F$5=TH!H305,OR(N305="331",O305="331")),"x","")</f>
        <v/>
      </c>
      <c r="Q305" s="47" t="str">
        <f>IF(AND(B305='111'!$L$11,OR($N305=$Q$7,$O305=$Q$7)),"x","")</f>
        <v/>
      </c>
      <c r="R305" s="47" t="str">
        <f>IF(AND($N305=$Q$7,$B305&lt;'111'!$L$11),"x","")</f>
        <v/>
      </c>
      <c r="S305" s="47" t="str">
        <f>IF(AND($O305=$Q$7,$B305&lt;'111'!$L$11),"x","")</f>
        <v>x</v>
      </c>
    </row>
    <row r="306" spans="1:19" ht="15.75" customHeight="1">
      <c r="A306" s="152" t="str">
        <f>IF(B306&lt;&gt;"",IF(AND(B306='IN-TC'!$S$4,OR(TH!N306="1111",TH!O306="1111")),TH!D306,""),"")</f>
        <v/>
      </c>
      <c r="B306" s="34">
        <f t="shared" si="11"/>
        <v>2</v>
      </c>
      <c r="C306" s="35">
        <f t="shared" si="12"/>
        <v>42429</v>
      </c>
      <c r="D306" s="212" t="s">
        <v>957</v>
      </c>
      <c r="E306" s="35">
        <v>42429</v>
      </c>
      <c r="F306" s="144" t="s">
        <v>431</v>
      </c>
      <c r="G306" s="191" t="s">
        <v>111</v>
      </c>
      <c r="H306" s="198"/>
      <c r="I306" s="186"/>
      <c r="J306" s="186"/>
      <c r="K306" s="185"/>
      <c r="L306" s="186"/>
      <c r="M306" s="36">
        <v>450000</v>
      </c>
      <c r="N306" s="37"/>
      <c r="O306" s="37" t="s">
        <v>34</v>
      </c>
      <c r="P306" s="47" t="str">
        <f>IF(AND('331-CT'!$F$5=TH!H306,OR(N306="331",O306="331")),"x","")</f>
        <v/>
      </c>
      <c r="Q306" s="47" t="str">
        <f>IF(AND(B306='111'!$L$11,OR($N306=$Q$7,$O306=$Q$7)),"x","")</f>
        <v/>
      </c>
      <c r="R306" s="47" t="str">
        <f>IF(AND($N306=$Q$7,$B306&lt;'111'!$L$11),"x","")</f>
        <v/>
      </c>
      <c r="S306" s="47" t="str">
        <f>IF(AND($O306=$Q$7,$B306&lt;'111'!$L$11),"x","")</f>
        <v>x</v>
      </c>
    </row>
    <row r="307" spans="1:19" ht="15.75" customHeight="1">
      <c r="A307" s="152" t="str">
        <f>IF(B307&lt;&gt;"",IF(AND(B307='IN-TC'!$S$4,OR(TH!N307="1111",TH!O307="1111")),TH!D307,""),"")</f>
        <v/>
      </c>
      <c r="B307" s="34">
        <f t="shared" si="11"/>
        <v>3</v>
      </c>
      <c r="C307" s="35">
        <f t="shared" si="12"/>
        <v>42430</v>
      </c>
      <c r="D307" s="212" t="s">
        <v>934</v>
      </c>
      <c r="E307" s="35">
        <v>42430</v>
      </c>
      <c r="F307" s="144" t="s">
        <v>147</v>
      </c>
      <c r="G307" s="191" t="s">
        <v>110</v>
      </c>
      <c r="H307" s="198"/>
      <c r="I307" s="186"/>
      <c r="J307" s="186"/>
      <c r="K307" s="185"/>
      <c r="L307" s="186"/>
      <c r="M307" s="36">
        <v>15000000</v>
      </c>
      <c r="N307" s="37" t="s">
        <v>34</v>
      </c>
      <c r="O307" s="37"/>
      <c r="P307" s="47" t="str">
        <f>IF(AND('331-CT'!$F$5=TH!H307,OR(N307="331",O307="331")),"x","")</f>
        <v/>
      </c>
      <c r="Q307" s="47" t="str">
        <f>IF(AND(B307='111'!$L$11,OR($N307=$Q$7,$O307=$Q$7)),"x","")</f>
        <v/>
      </c>
      <c r="R307" s="47" t="str">
        <f>IF(AND($N307=$Q$7,$B307&lt;'111'!$L$11),"x","")</f>
        <v>x</v>
      </c>
      <c r="S307" s="47" t="str">
        <f>IF(AND($O307=$Q$7,$B307&lt;'111'!$L$11),"x","")</f>
        <v/>
      </c>
    </row>
    <row r="308" spans="1:19" ht="15.75" customHeight="1">
      <c r="A308" s="152" t="str">
        <f>IF(B308&lt;&gt;"",IF(AND(B308='IN-TC'!$S$4,OR(TH!N308="1111",TH!O308="1111")),TH!D308,""),"")</f>
        <v/>
      </c>
      <c r="B308" s="34">
        <f t="shared" si="11"/>
        <v>3</v>
      </c>
      <c r="C308" s="35">
        <f t="shared" si="12"/>
        <v>42430</v>
      </c>
      <c r="D308" s="212" t="s">
        <v>935</v>
      </c>
      <c r="E308" s="35">
        <v>42430</v>
      </c>
      <c r="F308" s="144" t="s">
        <v>148</v>
      </c>
      <c r="G308" s="191" t="s">
        <v>110</v>
      </c>
      <c r="H308" s="198"/>
      <c r="I308" s="186"/>
      <c r="J308" s="186"/>
      <c r="K308" s="185"/>
      <c r="L308" s="186"/>
      <c r="M308" s="36">
        <v>5000000</v>
      </c>
      <c r="N308" s="37" t="s">
        <v>34</v>
      </c>
      <c r="O308" s="37"/>
      <c r="P308" s="47" t="str">
        <f>IF(AND('331-CT'!$F$5=TH!H308,OR(N308="331",O308="331")),"x","")</f>
        <v/>
      </c>
      <c r="Q308" s="47" t="str">
        <f>IF(AND(B308='111'!$L$11,OR($N308=$Q$7,$O308=$Q$7)),"x","")</f>
        <v/>
      </c>
      <c r="R308" s="47" t="str">
        <f>IF(AND($N308=$Q$7,$B308&lt;'111'!$L$11),"x","")</f>
        <v>x</v>
      </c>
      <c r="S308" s="47" t="str">
        <f>IF(AND($O308=$Q$7,$B308&lt;'111'!$L$11),"x","")</f>
        <v/>
      </c>
    </row>
    <row r="309" spans="1:19" ht="15.75" customHeight="1">
      <c r="A309" s="152" t="str">
        <f>IF(B309&lt;&gt;"",IF(AND(B309='IN-TC'!$S$4,OR(TH!N309="1111",TH!O309="1111")),TH!D309,""),"")</f>
        <v/>
      </c>
      <c r="B309" s="34">
        <f t="shared" si="11"/>
        <v>3</v>
      </c>
      <c r="C309" s="35">
        <f t="shared" si="12"/>
        <v>42430</v>
      </c>
      <c r="D309" s="212" t="s">
        <v>860</v>
      </c>
      <c r="E309" s="35">
        <v>42430</v>
      </c>
      <c r="F309" s="144" t="s">
        <v>432</v>
      </c>
      <c r="G309" s="191" t="s">
        <v>111</v>
      </c>
      <c r="H309" s="198"/>
      <c r="I309" s="186"/>
      <c r="J309" s="186"/>
      <c r="K309" s="185"/>
      <c r="L309" s="186"/>
      <c r="M309" s="36">
        <v>21747000</v>
      </c>
      <c r="N309" s="37"/>
      <c r="O309" s="37" t="s">
        <v>34</v>
      </c>
      <c r="P309" s="47" t="str">
        <f>IF(AND('331-CT'!$F$5=TH!H309,OR(N309="331",O309="331")),"x","")</f>
        <v/>
      </c>
      <c r="Q309" s="47" t="str">
        <f>IF(AND(B309='111'!$L$11,OR($N309=$Q$7,$O309=$Q$7)),"x","")</f>
        <v/>
      </c>
      <c r="R309" s="47" t="str">
        <f>IF(AND($N309=$Q$7,$B309&lt;'111'!$L$11),"x","")</f>
        <v/>
      </c>
      <c r="S309" s="47" t="str">
        <f>IF(AND($O309=$Q$7,$B309&lt;'111'!$L$11),"x","")</f>
        <v>x</v>
      </c>
    </row>
    <row r="310" spans="1:19" ht="15.75" customHeight="1">
      <c r="A310" s="152" t="str">
        <f>IF(B310&lt;&gt;"",IF(AND(B310='IN-TC'!$S$4,OR(TH!N310="1111",TH!O310="1111")),TH!D310,""),"")</f>
        <v/>
      </c>
      <c r="B310" s="34">
        <f t="shared" si="11"/>
        <v>3</v>
      </c>
      <c r="C310" s="35">
        <f t="shared" si="12"/>
        <v>42430</v>
      </c>
      <c r="D310" s="212" t="s">
        <v>861</v>
      </c>
      <c r="E310" s="35">
        <v>42430</v>
      </c>
      <c r="F310" s="144" t="s">
        <v>433</v>
      </c>
      <c r="G310" s="191" t="s">
        <v>111</v>
      </c>
      <c r="H310" s="198"/>
      <c r="I310" s="186"/>
      <c r="J310" s="186"/>
      <c r="K310" s="185"/>
      <c r="L310" s="186"/>
      <c r="M310" s="36">
        <v>7483000</v>
      </c>
      <c r="N310" s="37"/>
      <c r="O310" s="37" t="s">
        <v>34</v>
      </c>
      <c r="P310" s="47" t="str">
        <f>IF(AND('331-CT'!$F$5=TH!H310,OR(N310="331",O310="331")),"x","")</f>
        <v/>
      </c>
      <c r="Q310" s="47" t="str">
        <f>IF(AND(B310='111'!$L$11,OR($N310=$Q$7,$O310=$Q$7)),"x","")</f>
        <v/>
      </c>
      <c r="R310" s="47" t="str">
        <f>IF(AND($N310=$Q$7,$B310&lt;'111'!$L$11),"x","")</f>
        <v/>
      </c>
      <c r="S310" s="47" t="str">
        <f>IF(AND($O310=$Q$7,$B310&lt;'111'!$L$11),"x","")</f>
        <v>x</v>
      </c>
    </row>
    <row r="311" spans="1:19" ht="15.75" customHeight="1">
      <c r="A311" s="152" t="str">
        <f>IF(B311&lt;&gt;"",IF(AND(B311='IN-TC'!$S$4,OR(TH!N311="1111",TH!O311="1111")),TH!D311,""),"")</f>
        <v/>
      </c>
      <c r="B311" s="34">
        <f t="shared" si="11"/>
        <v>3</v>
      </c>
      <c r="C311" s="35">
        <f t="shared" si="12"/>
        <v>42430</v>
      </c>
      <c r="D311" s="212" t="s">
        <v>862</v>
      </c>
      <c r="E311" s="35">
        <v>42430</v>
      </c>
      <c r="F311" s="144" t="s">
        <v>434</v>
      </c>
      <c r="G311" s="191" t="s">
        <v>104</v>
      </c>
      <c r="H311" s="198"/>
      <c r="I311" s="186"/>
      <c r="J311" s="186"/>
      <c r="K311" s="185"/>
      <c r="L311" s="186"/>
      <c r="M311" s="36">
        <v>33000000</v>
      </c>
      <c r="N311" s="37"/>
      <c r="O311" s="37" t="s">
        <v>34</v>
      </c>
      <c r="P311" s="47" t="str">
        <f>IF(AND('331-CT'!$F$5=TH!H311,OR(N311="331",O311="331")),"x","")</f>
        <v/>
      </c>
      <c r="Q311" s="47" t="str">
        <f>IF(AND(B311='111'!$L$11,OR($N311=$Q$7,$O311=$Q$7)),"x","")</f>
        <v/>
      </c>
      <c r="R311" s="47" t="str">
        <f>IF(AND($N311=$Q$7,$B311&lt;'111'!$L$11),"x","")</f>
        <v/>
      </c>
      <c r="S311" s="47" t="str">
        <f>IF(AND($O311=$Q$7,$B311&lt;'111'!$L$11),"x","")</f>
        <v>x</v>
      </c>
    </row>
    <row r="312" spans="1:19" ht="15.75" customHeight="1">
      <c r="A312" s="152" t="str">
        <f>IF(B312&lt;&gt;"",IF(AND(B312='IN-TC'!$S$4,OR(TH!N312="1111",TH!O312="1111")),TH!D312,""),"")</f>
        <v/>
      </c>
      <c r="B312" s="34">
        <f t="shared" si="11"/>
        <v>3</v>
      </c>
      <c r="C312" s="35">
        <f t="shared" si="12"/>
        <v>42430</v>
      </c>
      <c r="D312" s="212" t="s">
        <v>863</v>
      </c>
      <c r="E312" s="35">
        <v>42430</v>
      </c>
      <c r="F312" s="144" t="s">
        <v>435</v>
      </c>
      <c r="G312" s="191" t="s">
        <v>104</v>
      </c>
      <c r="H312" s="198"/>
      <c r="I312" s="186"/>
      <c r="J312" s="186"/>
      <c r="K312" s="185"/>
      <c r="L312" s="186"/>
      <c r="M312" s="36">
        <v>41000000</v>
      </c>
      <c r="N312" s="37"/>
      <c r="O312" s="37" t="s">
        <v>34</v>
      </c>
      <c r="P312" s="47" t="str">
        <f>IF(AND('331-CT'!$F$5=TH!H312,OR(N312="331",O312="331")),"x","")</f>
        <v/>
      </c>
      <c r="Q312" s="47" t="str">
        <f>IF(AND(B312='111'!$L$11,OR($N312=$Q$7,$O312=$Q$7)),"x","")</f>
        <v/>
      </c>
      <c r="R312" s="47" t="str">
        <f>IF(AND($N312=$Q$7,$B312&lt;'111'!$L$11),"x","")</f>
        <v/>
      </c>
      <c r="S312" s="47" t="str">
        <f>IF(AND($O312=$Q$7,$B312&lt;'111'!$L$11),"x","")</f>
        <v>x</v>
      </c>
    </row>
    <row r="313" spans="1:19" ht="15.75" customHeight="1">
      <c r="A313" s="152" t="str">
        <f>IF(B313&lt;&gt;"",IF(AND(B313='IN-TC'!$S$4,OR(TH!N313="1111",TH!O313="1111")),TH!D313,""),"")</f>
        <v/>
      </c>
      <c r="B313" s="34">
        <f t="shared" si="11"/>
        <v>3</v>
      </c>
      <c r="C313" s="35">
        <f t="shared" si="12"/>
        <v>42430</v>
      </c>
      <c r="D313" s="212" t="s">
        <v>864</v>
      </c>
      <c r="E313" s="35">
        <v>42430</v>
      </c>
      <c r="F313" s="144" t="s">
        <v>436</v>
      </c>
      <c r="G313" s="191" t="s">
        <v>204</v>
      </c>
      <c r="H313" s="198"/>
      <c r="I313" s="186"/>
      <c r="J313" s="186"/>
      <c r="K313" s="185"/>
      <c r="L313" s="186"/>
      <c r="M313" s="36">
        <v>20000000</v>
      </c>
      <c r="N313" s="37"/>
      <c r="O313" s="37" t="s">
        <v>34</v>
      </c>
      <c r="P313" s="47" t="str">
        <f>IF(AND('331-CT'!$F$5=TH!H313,OR(N313="331",O313="331")),"x","")</f>
        <v/>
      </c>
      <c r="Q313" s="47" t="str">
        <f>IF(AND(B313='111'!$L$11,OR($N313=$Q$7,$O313=$Q$7)),"x","")</f>
        <v/>
      </c>
      <c r="R313" s="47" t="str">
        <f>IF(AND($N313=$Q$7,$B313&lt;'111'!$L$11),"x","")</f>
        <v/>
      </c>
      <c r="S313" s="47" t="str">
        <f>IF(AND($O313=$Q$7,$B313&lt;'111'!$L$11),"x","")</f>
        <v>x</v>
      </c>
    </row>
    <row r="314" spans="1:19" ht="15.75" customHeight="1">
      <c r="A314" s="152" t="str">
        <f>IF(B314&lt;&gt;"",IF(AND(B314='IN-TC'!$S$4,OR(TH!N314="1111",TH!O314="1111")),TH!D314,""),"")</f>
        <v/>
      </c>
      <c r="B314" s="34">
        <f t="shared" si="11"/>
        <v>3</v>
      </c>
      <c r="C314" s="35">
        <f t="shared" si="12"/>
        <v>42430</v>
      </c>
      <c r="D314" s="212" t="s">
        <v>865</v>
      </c>
      <c r="E314" s="35">
        <v>42430</v>
      </c>
      <c r="F314" s="144" t="s">
        <v>382</v>
      </c>
      <c r="G314" s="191" t="s">
        <v>206</v>
      </c>
      <c r="H314" s="198" t="s">
        <v>848</v>
      </c>
      <c r="I314" s="186"/>
      <c r="J314" s="186"/>
      <c r="K314" s="185"/>
      <c r="L314" s="186"/>
      <c r="M314" s="36">
        <v>100000000</v>
      </c>
      <c r="N314" s="37" t="s">
        <v>8</v>
      </c>
      <c r="O314" s="37" t="s">
        <v>34</v>
      </c>
      <c r="P314" s="47" t="str">
        <f>IF(AND('331-CT'!$F$5=TH!H314,OR(N314="331",O314="331")),"x","")</f>
        <v/>
      </c>
      <c r="Q314" s="47" t="str">
        <f>IF(AND(B314='111'!$L$11,OR($N314=$Q$7,$O314=$Q$7)),"x","")</f>
        <v/>
      </c>
      <c r="R314" s="47" t="str">
        <f>IF(AND($N314=$Q$7,$B314&lt;'111'!$L$11),"x","")</f>
        <v/>
      </c>
      <c r="S314" s="47" t="str">
        <f>IF(AND($O314=$Q$7,$B314&lt;'111'!$L$11),"x","")</f>
        <v>x</v>
      </c>
    </row>
    <row r="315" spans="1:19" ht="15.75" customHeight="1">
      <c r="A315" s="152" t="str">
        <f>IF(B315&lt;&gt;"",IF(AND(B315='IN-TC'!$S$4,OR(TH!N315="1111",TH!O315="1111")),TH!D315,""),"")</f>
        <v/>
      </c>
      <c r="B315" s="34">
        <f t="shared" si="11"/>
        <v>3</v>
      </c>
      <c r="C315" s="35">
        <f t="shared" si="12"/>
        <v>42430</v>
      </c>
      <c r="D315" s="212" t="s">
        <v>865</v>
      </c>
      <c r="E315" s="35">
        <v>42430</v>
      </c>
      <c r="F315" s="144" t="s">
        <v>1424</v>
      </c>
      <c r="G315" s="191"/>
      <c r="H315" s="198"/>
      <c r="I315" s="186"/>
      <c r="J315" s="186"/>
      <c r="K315" s="185"/>
      <c r="L315" s="186"/>
      <c r="M315" s="36">
        <v>30000</v>
      </c>
      <c r="N315" s="37" t="s">
        <v>1425</v>
      </c>
      <c r="O315" s="37" t="s">
        <v>34</v>
      </c>
      <c r="P315" s="47" t="str">
        <f>IF(AND('331-CT'!$F$5=TH!H315,OR(N315="331",O315="331")),"x","")</f>
        <v/>
      </c>
      <c r="Q315" s="47" t="str">
        <f>IF(AND(B315='111'!$L$11,OR($N315=$Q$7,$O315=$Q$7)),"x","")</f>
        <v/>
      </c>
      <c r="R315" s="47" t="str">
        <f>IF(AND($N315=$Q$7,$B315&lt;'111'!$L$11),"x","")</f>
        <v/>
      </c>
      <c r="S315" s="47" t="str">
        <f>IF(AND($O315=$Q$7,$B315&lt;'111'!$L$11),"x","")</f>
        <v>x</v>
      </c>
    </row>
    <row r="316" spans="1:19" ht="15.75" customHeight="1">
      <c r="A316" s="152" t="str">
        <f>IF(B316&lt;&gt;"",IF(AND(B316='IN-TC'!$S$4,OR(TH!N316="1111",TH!O316="1111")),TH!D316,""),"")</f>
        <v/>
      </c>
      <c r="B316" s="34">
        <f t="shared" si="11"/>
        <v>3</v>
      </c>
      <c r="C316" s="35">
        <f t="shared" si="12"/>
        <v>42430</v>
      </c>
      <c r="D316" s="212"/>
      <c r="E316" s="35">
        <v>42430</v>
      </c>
      <c r="F316" s="144" t="s">
        <v>1470</v>
      </c>
      <c r="G316" s="191" t="s">
        <v>204</v>
      </c>
      <c r="H316" s="198" t="s">
        <v>821</v>
      </c>
      <c r="I316" s="186">
        <v>9999</v>
      </c>
      <c r="J316" s="186">
        <v>9000</v>
      </c>
      <c r="K316" s="185"/>
      <c r="L316" s="186"/>
      <c r="M316" s="36">
        <f>ROUND(I316*J316,-3)</f>
        <v>89991000</v>
      </c>
      <c r="N316" s="37" t="s">
        <v>1443</v>
      </c>
      <c r="O316" s="37" t="s">
        <v>8</v>
      </c>
      <c r="P316" s="47" t="str">
        <f>IF(AND('331-CT'!$F$5=TH!H316,OR(N316="331",O316="331")),"x","")</f>
        <v/>
      </c>
      <c r="Q316" s="47" t="str">
        <f>IF(AND(B316='111'!$L$11,OR($N316=$Q$7,$O316=$Q$7)),"x","")</f>
        <v/>
      </c>
      <c r="R316" s="47" t="str">
        <f>IF(AND($N316=$Q$7,$B316&lt;'111'!$L$11),"x","")</f>
        <v/>
      </c>
      <c r="S316" s="47" t="str">
        <f>IF(AND($O316=$Q$7,$B316&lt;'111'!$L$11),"x","")</f>
        <v/>
      </c>
    </row>
    <row r="317" spans="1:19" ht="15.75" customHeight="1">
      <c r="A317" s="152" t="str">
        <f>IF(B317&lt;&gt;"",IF(AND(B317='IN-TC'!$S$4,OR(TH!N317="1111",TH!O317="1111")),TH!D317,""),"")</f>
        <v/>
      </c>
      <c r="B317" s="34">
        <f t="shared" si="11"/>
        <v>3</v>
      </c>
      <c r="C317" s="35">
        <f t="shared" si="12"/>
        <v>42430</v>
      </c>
      <c r="D317" s="212"/>
      <c r="E317" s="35">
        <v>42430</v>
      </c>
      <c r="F317" s="144" t="s">
        <v>1470</v>
      </c>
      <c r="G317" s="191" t="s">
        <v>1471</v>
      </c>
      <c r="H317" s="198" t="s">
        <v>821</v>
      </c>
      <c r="I317" s="186">
        <v>7248</v>
      </c>
      <c r="J317" s="186">
        <v>8500</v>
      </c>
      <c r="K317" s="185"/>
      <c r="L317" s="186"/>
      <c r="M317" s="36">
        <f>ROUND(I317*J317,-3)</f>
        <v>61608000</v>
      </c>
      <c r="N317" s="37" t="s">
        <v>1443</v>
      </c>
      <c r="O317" s="37" t="s">
        <v>8</v>
      </c>
      <c r="P317" s="47" t="str">
        <f>IF(AND('331-CT'!$F$5=TH!H317,OR(N317="331",O317="331")),"x","")</f>
        <v/>
      </c>
      <c r="Q317" s="47" t="str">
        <f>IF(AND(B317='111'!$L$11,OR($N317=$Q$7,$O317=$Q$7)),"x","")</f>
        <v/>
      </c>
      <c r="R317" s="47" t="str">
        <f>IF(AND($N317=$Q$7,$B317&lt;'111'!$L$11),"x","")</f>
        <v/>
      </c>
      <c r="S317" s="47" t="str">
        <f>IF(AND($O317=$Q$7,$B317&lt;'111'!$L$11),"x","")</f>
        <v/>
      </c>
    </row>
    <row r="318" spans="1:19" ht="15.75" customHeight="1">
      <c r="A318" s="152" t="str">
        <f>IF(B318&lt;&gt;"",IF(AND(B318='IN-TC'!$S$4,OR(TH!N318="1111",TH!O318="1111")),TH!D318,""),"")</f>
        <v/>
      </c>
      <c r="B318" s="34">
        <f t="shared" si="11"/>
        <v>3</v>
      </c>
      <c r="C318" s="35">
        <f t="shared" si="12"/>
        <v>42431</v>
      </c>
      <c r="D318" s="212" t="s">
        <v>866</v>
      </c>
      <c r="E318" s="35">
        <v>42431</v>
      </c>
      <c r="F318" s="144" t="s">
        <v>437</v>
      </c>
      <c r="G318" s="191" t="s">
        <v>202</v>
      </c>
      <c r="H318" s="198"/>
      <c r="I318" s="186"/>
      <c r="J318" s="186"/>
      <c r="K318" s="185"/>
      <c r="L318" s="186"/>
      <c r="M318" s="36">
        <v>340000</v>
      </c>
      <c r="N318" s="37"/>
      <c r="O318" s="37" t="s">
        <v>34</v>
      </c>
      <c r="P318" s="47" t="str">
        <f>IF(AND('331-CT'!$F$5=TH!H318,OR(N318="331",O318="331")),"x","")</f>
        <v/>
      </c>
      <c r="Q318" s="47" t="str">
        <f>IF(AND(B318='111'!$L$11,OR($N318=$Q$7,$O318=$Q$7)),"x","")</f>
        <v/>
      </c>
      <c r="R318" s="47" t="str">
        <f>IF(AND($N318=$Q$7,$B318&lt;'111'!$L$11),"x","")</f>
        <v/>
      </c>
      <c r="S318" s="47" t="str">
        <f>IF(AND($O318=$Q$7,$B318&lt;'111'!$L$11),"x","")</f>
        <v>x</v>
      </c>
    </row>
    <row r="319" spans="1:19" ht="15.75" customHeight="1">
      <c r="A319" s="152" t="str">
        <f>IF(B319&lt;&gt;"",IF(AND(B319='IN-TC'!$S$4,OR(TH!N319="1111",TH!O319="1111")),TH!D319,""),"")</f>
        <v/>
      </c>
      <c r="B319" s="34">
        <f t="shared" si="11"/>
        <v>3</v>
      </c>
      <c r="C319" s="35">
        <f t="shared" si="12"/>
        <v>42431</v>
      </c>
      <c r="D319" s="212" t="s">
        <v>867</v>
      </c>
      <c r="E319" s="35">
        <v>42431</v>
      </c>
      <c r="F319" s="144" t="s">
        <v>438</v>
      </c>
      <c r="G319" s="191" t="s">
        <v>202</v>
      </c>
      <c r="H319" s="198"/>
      <c r="I319" s="186"/>
      <c r="J319" s="186"/>
      <c r="K319" s="185"/>
      <c r="L319" s="186"/>
      <c r="M319" s="36">
        <v>1210000</v>
      </c>
      <c r="N319" s="37"/>
      <c r="O319" s="37" t="s">
        <v>34</v>
      </c>
      <c r="P319" s="47" t="str">
        <f>IF(AND('331-CT'!$F$5=TH!H319,OR(N319="331",O319="331")),"x","")</f>
        <v/>
      </c>
      <c r="Q319" s="47" t="str">
        <f>IF(AND(B319='111'!$L$11,OR($N319=$Q$7,$O319=$Q$7)),"x","")</f>
        <v/>
      </c>
      <c r="R319" s="47" t="str">
        <f>IF(AND($N319=$Q$7,$B319&lt;'111'!$L$11),"x","")</f>
        <v/>
      </c>
      <c r="S319" s="47" t="str">
        <f>IF(AND($O319=$Q$7,$B319&lt;'111'!$L$11),"x","")</f>
        <v>x</v>
      </c>
    </row>
    <row r="320" spans="1:19" ht="15.75" customHeight="1">
      <c r="A320" s="152" t="str">
        <f>IF(B320&lt;&gt;"",IF(AND(B320='IN-TC'!$S$4,OR(TH!N320="1111",TH!O320="1111")),TH!D320,""),"")</f>
        <v/>
      </c>
      <c r="B320" s="34">
        <f t="shared" si="11"/>
        <v>3</v>
      </c>
      <c r="C320" s="35">
        <f t="shared" si="12"/>
        <v>42431</v>
      </c>
      <c r="D320" s="212" t="s">
        <v>868</v>
      </c>
      <c r="E320" s="35">
        <v>42431</v>
      </c>
      <c r="F320" s="144" t="s">
        <v>439</v>
      </c>
      <c r="G320" s="191" t="s">
        <v>205</v>
      </c>
      <c r="H320" s="198"/>
      <c r="I320" s="186"/>
      <c r="J320" s="186"/>
      <c r="K320" s="185"/>
      <c r="L320" s="186"/>
      <c r="M320" s="36">
        <v>500000</v>
      </c>
      <c r="N320" s="37"/>
      <c r="O320" s="37" t="s">
        <v>34</v>
      </c>
      <c r="P320" s="47" t="str">
        <f>IF(AND('331-CT'!$F$5=TH!H320,OR(N320="331",O320="331")),"x","")</f>
        <v/>
      </c>
      <c r="Q320" s="47" t="str">
        <f>IF(AND(B320='111'!$L$11,OR($N320=$Q$7,$O320=$Q$7)),"x","")</f>
        <v/>
      </c>
      <c r="R320" s="47" t="str">
        <f>IF(AND($N320=$Q$7,$B320&lt;'111'!$L$11),"x","")</f>
        <v/>
      </c>
      <c r="S320" s="47" t="str">
        <f>IF(AND($O320=$Q$7,$B320&lt;'111'!$L$11),"x","")</f>
        <v>x</v>
      </c>
    </row>
    <row r="321" spans="1:19" ht="15.75" customHeight="1">
      <c r="A321" s="152" t="str">
        <f>IF(B321&lt;&gt;"",IF(AND(B321='IN-TC'!$S$4,OR(TH!N321="1111",TH!O321="1111")),TH!D321,""),"")</f>
        <v/>
      </c>
      <c r="B321" s="34">
        <f t="shared" si="11"/>
        <v>3</v>
      </c>
      <c r="C321" s="35">
        <f t="shared" si="12"/>
        <v>42431</v>
      </c>
      <c r="D321" s="212" t="s">
        <v>869</v>
      </c>
      <c r="E321" s="35">
        <v>42431</v>
      </c>
      <c r="F321" s="144" t="s">
        <v>281</v>
      </c>
      <c r="G321" s="191" t="s">
        <v>205</v>
      </c>
      <c r="H321" s="198"/>
      <c r="I321" s="186"/>
      <c r="J321" s="186"/>
      <c r="K321" s="185"/>
      <c r="L321" s="186"/>
      <c r="M321" s="36">
        <v>60000</v>
      </c>
      <c r="N321" s="37"/>
      <c r="O321" s="37" t="s">
        <v>34</v>
      </c>
      <c r="P321" s="47" t="str">
        <f>IF(AND('331-CT'!$F$5=TH!H321,OR(N321="331",O321="331")),"x","")</f>
        <v/>
      </c>
      <c r="Q321" s="47" t="str">
        <f>IF(AND(B321='111'!$L$11,OR($N321=$Q$7,$O321=$Q$7)),"x","")</f>
        <v/>
      </c>
      <c r="R321" s="47" t="str">
        <f>IF(AND($N321=$Q$7,$B321&lt;'111'!$L$11),"x","")</f>
        <v/>
      </c>
      <c r="S321" s="47" t="str">
        <f>IF(AND($O321=$Q$7,$B321&lt;'111'!$L$11),"x","")</f>
        <v>x</v>
      </c>
    </row>
    <row r="322" spans="1:19" ht="15.75" customHeight="1">
      <c r="A322" s="152" t="str">
        <f>IF(B322&lt;&gt;"",IF(AND(B322='IN-TC'!$S$4,OR(TH!N322="1111",TH!O322="1111")),TH!D322,""),"")</f>
        <v/>
      </c>
      <c r="B322" s="34">
        <f t="shared" si="11"/>
        <v>3</v>
      </c>
      <c r="C322" s="35">
        <f t="shared" si="12"/>
        <v>42431</v>
      </c>
      <c r="D322" s="212" t="s">
        <v>870</v>
      </c>
      <c r="E322" s="35">
        <v>42431</v>
      </c>
      <c r="F322" s="144" t="s">
        <v>440</v>
      </c>
      <c r="G322" s="191" t="s">
        <v>216</v>
      </c>
      <c r="H322" s="198"/>
      <c r="I322" s="186"/>
      <c r="J322" s="186"/>
      <c r="K322" s="185"/>
      <c r="L322" s="186"/>
      <c r="M322" s="36">
        <v>500000</v>
      </c>
      <c r="N322" s="37"/>
      <c r="O322" s="37" t="s">
        <v>34</v>
      </c>
      <c r="P322" s="47" t="str">
        <f>IF(AND('331-CT'!$F$5=TH!H322,OR(N322="331",O322="331")),"x","")</f>
        <v/>
      </c>
      <c r="Q322" s="47" t="str">
        <f>IF(AND(B322='111'!$L$11,OR($N322=$Q$7,$O322=$Q$7)),"x","")</f>
        <v/>
      </c>
      <c r="R322" s="47" t="str">
        <f>IF(AND($N322=$Q$7,$B322&lt;'111'!$L$11),"x","")</f>
        <v/>
      </c>
      <c r="S322" s="47" t="str">
        <f>IF(AND($O322=$Q$7,$B322&lt;'111'!$L$11),"x","")</f>
        <v>x</v>
      </c>
    </row>
    <row r="323" spans="1:19" ht="15.75" customHeight="1">
      <c r="A323" s="152" t="str">
        <f>IF(B323&lt;&gt;"",IF(AND(B323='IN-TC'!$S$4,OR(TH!N323="1111",TH!O323="1111")),TH!D323,""),"")</f>
        <v/>
      </c>
      <c r="B323" s="34">
        <f t="shared" si="11"/>
        <v>3</v>
      </c>
      <c r="C323" s="35">
        <f t="shared" si="12"/>
        <v>42432</v>
      </c>
      <c r="D323" s="212" t="s">
        <v>871</v>
      </c>
      <c r="E323" s="35">
        <v>42432</v>
      </c>
      <c r="F323" s="144" t="s">
        <v>441</v>
      </c>
      <c r="G323" s="191" t="s">
        <v>203</v>
      </c>
      <c r="H323" s="198" t="s">
        <v>1414</v>
      </c>
      <c r="I323" s="186"/>
      <c r="J323" s="186"/>
      <c r="K323" s="185"/>
      <c r="L323" s="186"/>
      <c r="M323" s="36">
        <v>12017000</v>
      </c>
      <c r="N323" s="37" t="s">
        <v>814</v>
      </c>
      <c r="O323" s="37" t="s">
        <v>34</v>
      </c>
      <c r="P323" s="47" t="str">
        <f>IF(AND('331-CT'!$F$5=TH!H323,OR(N323="331",O323="331")),"x","")</f>
        <v/>
      </c>
      <c r="Q323" s="47" t="str">
        <f>IF(AND(B323='111'!$L$11,OR($N323=$Q$7,$O323=$Q$7)),"x","")</f>
        <v/>
      </c>
      <c r="R323" s="47" t="str">
        <f>IF(AND($N323=$Q$7,$B323&lt;'111'!$L$11),"x","")</f>
        <v/>
      </c>
      <c r="S323" s="47" t="str">
        <f>IF(AND($O323=$Q$7,$B323&lt;'111'!$L$11),"x","")</f>
        <v>x</v>
      </c>
    </row>
    <row r="324" spans="1:19" ht="15.75" customHeight="1">
      <c r="A324" s="152" t="str">
        <f>IF(B324&lt;&gt;"",IF(AND(B324='IN-TC'!$S$4,OR(TH!N324="1111",TH!O324="1111")),TH!D324,""),"")</f>
        <v/>
      </c>
      <c r="B324" s="34">
        <f t="shared" si="11"/>
        <v>3</v>
      </c>
      <c r="C324" s="35">
        <f t="shared" si="12"/>
        <v>42432</v>
      </c>
      <c r="D324" s="212" t="s">
        <v>872</v>
      </c>
      <c r="E324" s="35">
        <v>42432</v>
      </c>
      <c r="F324" s="144" t="s">
        <v>442</v>
      </c>
      <c r="G324" s="191" t="s">
        <v>202</v>
      </c>
      <c r="H324" s="198"/>
      <c r="I324" s="186"/>
      <c r="J324" s="186"/>
      <c r="K324" s="185"/>
      <c r="L324" s="186"/>
      <c r="M324" s="36">
        <v>620000</v>
      </c>
      <c r="N324" s="37"/>
      <c r="O324" s="37" t="s">
        <v>34</v>
      </c>
      <c r="P324" s="47" t="str">
        <f>IF(AND('331-CT'!$F$5=TH!H324,OR(N324="331",O324="331")),"x","")</f>
        <v/>
      </c>
      <c r="Q324" s="47" t="str">
        <f>IF(AND(B324='111'!$L$11,OR($N324=$Q$7,$O324=$Q$7)),"x","")</f>
        <v/>
      </c>
      <c r="R324" s="47" t="str">
        <f>IF(AND($N324=$Q$7,$B324&lt;'111'!$L$11),"x","")</f>
        <v/>
      </c>
      <c r="S324" s="47" t="str">
        <f>IF(AND($O324=$Q$7,$B324&lt;'111'!$L$11),"x","")</f>
        <v>x</v>
      </c>
    </row>
    <row r="325" spans="1:19" ht="15.75" customHeight="1">
      <c r="A325" s="152" t="str">
        <f>IF(B325&lt;&gt;"",IF(AND(B325='IN-TC'!$S$4,OR(TH!N325="1111",TH!O325="1111")),TH!D325,""),"")</f>
        <v/>
      </c>
      <c r="B325" s="34">
        <f t="shared" si="11"/>
        <v>3</v>
      </c>
      <c r="C325" s="35">
        <f t="shared" si="12"/>
        <v>42432</v>
      </c>
      <c r="D325" s="212" t="s">
        <v>873</v>
      </c>
      <c r="E325" s="35">
        <v>42432</v>
      </c>
      <c r="F325" s="144" t="s">
        <v>443</v>
      </c>
      <c r="G325" s="191" t="s">
        <v>208</v>
      </c>
      <c r="H325" s="198"/>
      <c r="I325" s="186"/>
      <c r="J325" s="186"/>
      <c r="K325" s="185"/>
      <c r="L325" s="186"/>
      <c r="M325" s="36">
        <v>2164000</v>
      </c>
      <c r="N325" s="37"/>
      <c r="O325" s="37" t="s">
        <v>34</v>
      </c>
      <c r="P325" s="47" t="str">
        <f>IF(AND('331-CT'!$F$5=TH!H325,OR(N325="331",O325="331")),"x","")</f>
        <v/>
      </c>
      <c r="Q325" s="47" t="str">
        <f>IF(AND(B325='111'!$L$11,OR($N325=$Q$7,$O325=$Q$7)),"x","")</f>
        <v/>
      </c>
      <c r="R325" s="47" t="str">
        <f>IF(AND($N325=$Q$7,$B325&lt;'111'!$L$11),"x","")</f>
        <v/>
      </c>
      <c r="S325" s="47" t="str">
        <f>IF(AND($O325=$Q$7,$B325&lt;'111'!$L$11),"x","")</f>
        <v>x</v>
      </c>
    </row>
    <row r="326" spans="1:19" ht="15.75" customHeight="1">
      <c r="A326" s="152" t="str">
        <f>IF(B326&lt;&gt;"",IF(AND(B326='IN-TC'!$S$4,OR(TH!N326="1111",TH!O326="1111")),TH!D326,""),"")</f>
        <v/>
      </c>
      <c r="B326" s="34">
        <f t="shared" si="11"/>
        <v>3</v>
      </c>
      <c r="C326" s="35">
        <f t="shared" si="12"/>
        <v>42432</v>
      </c>
      <c r="D326" s="212" t="s">
        <v>874</v>
      </c>
      <c r="E326" s="35">
        <v>42432</v>
      </c>
      <c r="F326" s="144" t="s">
        <v>444</v>
      </c>
      <c r="G326" s="191" t="s">
        <v>207</v>
      </c>
      <c r="H326" s="198"/>
      <c r="I326" s="186"/>
      <c r="J326" s="186"/>
      <c r="K326" s="185"/>
      <c r="L326" s="186"/>
      <c r="M326" s="36">
        <v>540000</v>
      </c>
      <c r="N326" s="37"/>
      <c r="O326" s="37" t="s">
        <v>34</v>
      </c>
      <c r="P326" s="47" t="str">
        <f>IF(AND('331-CT'!$F$5=TH!H326,OR(N326="331",O326="331")),"x","")</f>
        <v/>
      </c>
      <c r="Q326" s="47" t="str">
        <f>IF(AND(B326='111'!$L$11,OR($N326=$Q$7,$O326=$Q$7)),"x","")</f>
        <v/>
      </c>
      <c r="R326" s="47" t="str">
        <f>IF(AND($N326=$Q$7,$B326&lt;'111'!$L$11),"x","")</f>
        <v/>
      </c>
      <c r="S326" s="47" t="str">
        <f>IF(AND($O326=$Q$7,$B326&lt;'111'!$L$11),"x","")</f>
        <v>x</v>
      </c>
    </row>
    <row r="327" spans="1:19" ht="15.75" customHeight="1">
      <c r="A327" s="152" t="str">
        <f>IF(B327&lt;&gt;"",IF(AND(B327='IN-TC'!$S$4,OR(TH!N327="1111",TH!O327="1111")),TH!D327,""),"")</f>
        <v/>
      </c>
      <c r="B327" s="34">
        <f t="shared" si="11"/>
        <v>3</v>
      </c>
      <c r="C327" s="35">
        <f t="shared" si="12"/>
        <v>42432</v>
      </c>
      <c r="D327" s="212"/>
      <c r="E327" s="35">
        <v>42432</v>
      </c>
      <c r="F327" s="144" t="s">
        <v>1486</v>
      </c>
      <c r="G327" s="191" t="s">
        <v>204</v>
      </c>
      <c r="H327" s="198" t="s">
        <v>823</v>
      </c>
      <c r="I327" s="186">
        <v>2688</v>
      </c>
      <c r="J327" s="186">
        <v>24000</v>
      </c>
      <c r="K327" s="185"/>
      <c r="L327" s="186"/>
      <c r="M327" s="36">
        <f>ROUND(I327*J327,0)-13000</f>
        <v>64499000</v>
      </c>
      <c r="N327" s="37" t="s">
        <v>1443</v>
      </c>
      <c r="O327" s="37" t="s">
        <v>8</v>
      </c>
      <c r="P327" s="47" t="str">
        <f>IF(AND('331-CT'!$F$5=TH!H327,OR(N327="331",O327="331")),"x","")</f>
        <v/>
      </c>
      <c r="Q327" s="47" t="str">
        <f>IF(AND(B327='111'!$L$11,OR($N327=$Q$7,$O327=$Q$7)),"x","")</f>
        <v/>
      </c>
      <c r="R327" s="47" t="str">
        <f>IF(AND($N327=$Q$7,$B327&lt;'111'!$L$11),"x","")</f>
        <v/>
      </c>
      <c r="S327" s="47" t="str">
        <f>IF(AND($O327=$Q$7,$B327&lt;'111'!$L$11),"x","")</f>
        <v/>
      </c>
    </row>
    <row r="328" spans="1:19" ht="15.75" customHeight="1">
      <c r="A328" s="152" t="str">
        <f>IF(B328&lt;&gt;"",IF(AND(B328='IN-TC'!$S$4,OR(TH!N328="1111",TH!O328="1111")),TH!D328,""),"")</f>
        <v/>
      </c>
      <c r="B328" s="34">
        <f t="shared" si="11"/>
        <v>3</v>
      </c>
      <c r="C328" s="35">
        <f t="shared" si="12"/>
        <v>42432</v>
      </c>
      <c r="D328" s="212"/>
      <c r="E328" s="35">
        <v>42432</v>
      </c>
      <c r="F328" s="144" t="s">
        <v>1502</v>
      </c>
      <c r="G328" s="191" t="s">
        <v>1454</v>
      </c>
      <c r="H328" s="198" t="s">
        <v>846</v>
      </c>
      <c r="I328" s="186">
        <v>422</v>
      </c>
      <c r="J328" s="186">
        <v>52000</v>
      </c>
      <c r="K328" s="185"/>
      <c r="L328" s="186"/>
      <c r="M328" s="36">
        <f>ROUND(I328*J328,-3)</f>
        <v>21944000</v>
      </c>
      <c r="N328" s="37" t="s">
        <v>1443</v>
      </c>
      <c r="O328" s="37" t="s">
        <v>8</v>
      </c>
      <c r="P328" s="47" t="str">
        <f>IF(AND('331-CT'!$F$5=TH!H328,OR(N328="331",O328="331")),"x","")</f>
        <v/>
      </c>
      <c r="Q328" s="47" t="str">
        <f>IF(AND(B328='111'!$L$11,OR($N328=$Q$7,$O328=$Q$7)),"x","")</f>
        <v/>
      </c>
      <c r="R328" s="47" t="str">
        <f>IF(AND($N328=$Q$7,$B328&lt;'111'!$L$11),"x","")</f>
        <v/>
      </c>
      <c r="S328" s="47" t="str">
        <f>IF(AND($O328=$Q$7,$B328&lt;'111'!$L$11),"x","")</f>
        <v/>
      </c>
    </row>
    <row r="329" spans="1:19" ht="15.75" customHeight="1">
      <c r="A329" s="152" t="str">
        <f>IF(B329&lt;&gt;"",IF(AND(B329='IN-TC'!$S$4,OR(TH!N329="1111",TH!O329="1111")),TH!D329,""),"")</f>
        <v/>
      </c>
      <c r="B329" s="34">
        <f t="shared" si="11"/>
        <v>3</v>
      </c>
      <c r="C329" s="35">
        <f t="shared" si="12"/>
        <v>42432</v>
      </c>
      <c r="D329" s="212"/>
      <c r="E329" s="35">
        <v>42432</v>
      </c>
      <c r="F329" s="144" t="s">
        <v>1506</v>
      </c>
      <c r="G329" s="191" t="s">
        <v>1454</v>
      </c>
      <c r="H329" s="198" t="s">
        <v>846</v>
      </c>
      <c r="I329" s="186">
        <v>37</v>
      </c>
      <c r="J329" s="186">
        <v>52000</v>
      </c>
      <c r="K329" s="185"/>
      <c r="L329" s="186"/>
      <c r="M329" s="36">
        <f>ROUND(I329*J329,-3)</f>
        <v>1924000</v>
      </c>
      <c r="N329" s="37" t="s">
        <v>1443</v>
      </c>
      <c r="O329" s="37" t="s">
        <v>8</v>
      </c>
      <c r="P329" s="47" t="str">
        <f>IF(AND('331-CT'!$F$5=TH!H329,OR(N329="331",O329="331")),"x","")</f>
        <v/>
      </c>
      <c r="Q329" s="47" t="str">
        <f>IF(AND(B329='111'!$L$11,OR($N329=$Q$7,$O329=$Q$7)),"x","")</f>
        <v/>
      </c>
      <c r="R329" s="47" t="str">
        <f>IF(AND($N329=$Q$7,$B329&lt;'111'!$L$11),"x","")</f>
        <v/>
      </c>
      <c r="S329" s="47" t="str">
        <f>IF(AND($O329=$Q$7,$B329&lt;'111'!$L$11),"x","")</f>
        <v/>
      </c>
    </row>
    <row r="330" spans="1:19" ht="15.75" customHeight="1">
      <c r="A330" s="152" t="str">
        <f>IF(B330&lt;&gt;"",IF(AND(B330='IN-TC'!$S$4,OR(TH!N330="1111",TH!O330="1111")),TH!D330,""),"")</f>
        <v/>
      </c>
      <c r="B330" s="34">
        <f t="shared" si="11"/>
        <v>3</v>
      </c>
      <c r="C330" s="35">
        <f t="shared" si="12"/>
        <v>42435</v>
      </c>
      <c r="D330" s="212"/>
      <c r="E330" s="35">
        <v>42435</v>
      </c>
      <c r="F330" s="144" t="s">
        <v>1470</v>
      </c>
      <c r="G330" s="191" t="s">
        <v>204</v>
      </c>
      <c r="H330" s="198" t="s">
        <v>821</v>
      </c>
      <c r="I330" s="186">
        <v>10669</v>
      </c>
      <c r="J330" s="186">
        <v>8000</v>
      </c>
      <c r="K330" s="185"/>
      <c r="L330" s="186"/>
      <c r="M330" s="36">
        <f>ROUND(I330*J330,-3)</f>
        <v>85352000</v>
      </c>
      <c r="N330" s="37" t="s">
        <v>1443</v>
      </c>
      <c r="O330" s="37" t="s">
        <v>8</v>
      </c>
      <c r="P330" s="47" t="str">
        <f>IF(AND('331-CT'!$F$5=TH!H330,OR(N330="331",O330="331")),"x","")</f>
        <v/>
      </c>
      <c r="Q330" s="47" t="str">
        <f>IF(AND(B330='111'!$L$11,OR($N330=$Q$7,$O330=$Q$7)),"x","")</f>
        <v/>
      </c>
      <c r="R330" s="47" t="str">
        <f>IF(AND($N330=$Q$7,$B330&lt;'111'!$L$11),"x","")</f>
        <v/>
      </c>
      <c r="S330" s="47" t="str">
        <f>IF(AND($O330=$Q$7,$B330&lt;'111'!$L$11),"x","")</f>
        <v/>
      </c>
    </row>
    <row r="331" spans="1:19" ht="15.75" customHeight="1">
      <c r="A331" s="152" t="str">
        <f>IF(B331&lt;&gt;"",IF(AND(B331='IN-TC'!$S$4,OR(TH!N331="1111",TH!O331="1111")),TH!D331,""),"")</f>
        <v/>
      </c>
      <c r="B331" s="34">
        <f t="shared" si="11"/>
        <v>3</v>
      </c>
      <c r="C331" s="35">
        <f t="shared" si="12"/>
        <v>42436</v>
      </c>
      <c r="D331" s="212" t="s">
        <v>936</v>
      </c>
      <c r="E331" s="35">
        <v>42436</v>
      </c>
      <c r="F331" s="144" t="s">
        <v>149</v>
      </c>
      <c r="G331" s="191" t="s">
        <v>105</v>
      </c>
      <c r="H331" s="198" t="s">
        <v>1417</v>
      </c>
      <c r="I331" s="186"/>
      <c r="J331" s="186"/>
      <c r="K331" s="185"/>
      <c r="L331" s="186"/>
      <c r="M331" s="36">
        <v>100000000</v>
      </c>
      <c r="N331" s="37" t="s">
        <v>34</v>
      </c>
      <c r="O331" s="37" t="s">
        <v>812</v>
      </c>
      <c r="P331" s="47" t="str">
        <f>IF(AND('331-CT'!$F$5=TH!H331,OR(N331="331",O331="331")),"x","")</f>
        <v/>
      </c>
      <c r="Q331" s="47" t="str">
        <f>IF(AND(B331='111'!$L$11,OR($N331=$Q$7,$O331=$Q$7)),"x","")</f>
        <v/>
      </c>
      <c r="R331" s="47" t="str">
        <f>IF(AND($N331=$Q$7,$B331&lt;'111'!$L$11),"x","")</f>
        <v>x</v>
      </c>
      <c r="S331" s="47" t="str">
        <f>IF(AND($O331=$Q$7,$B331&lt;'111'!$L$11),"x","")</f>
        <v/>
      </c>
    </row>
    <row r="332" spans="1:19" ht="15.75" customHeight="1">
      <c r="A332" s="152" t="str">
        <f>IF(B332&lt;&gt;"",IF(AND(B332='IN-TC'!$S$4,OR(TH!N332="1111",TH!O332="1111")),TH!D332,""),"")</f>
        <v/>
      </c>
      <c r="B332" s="34">
        <f t="shared" si="11"/>
        <v>3</v>
      </c>
      <c r="C332" s="35">
        <f t="shared" si="12"/>
        <v>42436</v>
      </c>
      <c r="D332" s="212" t="s">
        <v>875</v>
      </c>
      <c r="E332" s="35">
        <v>42436</v>
      </c>
      <c r="F332" s="144" t="s">
        <v>445</v>
      </c>
      <c r="G332" s="191" t="s">
        <v>202</v>
      </c>
      <c r="H332" s="198"/>
      <c r="I332" s="186"/>
      <c r="J332" s="186"/>
      <c r="K332" s="185"/>
      <c r="L332" s="186"/>
      <c r="M332" s="36">
        <v>17642000</v>
      </c>
      <c r="N332" s="37"/>
      <c r="O332" s="37" t="s">
        <v>34</v>
      </c>
      <c r="P332" s="47" t="str">
        <f>IF(AND('331-CT'!$F$5=TH!H332,OR(N332="331",O332="331")),"x","")</f>
        <v/>
      </c>
      <c r="Q332" s="47" t="str">
        <f>IF(AND(B332='111'!$L$11,OR($N332=$Q$7,$O332=$Q$7)),"x","")</f>
        <v/>
      </c>
      <c r="R332" s="47" t="str">
        <f>IF(AND($N332=$Q$7,$B332&lt;'111'!$L$11),"x","")</f>
        <v/>
      </c>
      <c r="S332" s="47" t="str">
        <f>IF(AND($O332=$Q$7,$B332&lt;'111'!$L$11),"x","")</f>
        <v>x</v>
      </c>
    </row>
    <row r="333" spans="1:19" ht="15.75" customHeight="1">
      <c r="A333" s="152" t="str">
        <f>IF(B333&lt;&gt;"",IF(AND(B333='IN-TC'!$S$4,OR(TH!N333="1111",TH!O333="1111")),TH!D333,""),"")</f>
        <v/>
      </c>
      <c r="B333" s="34">
        <f t="shared" ref="B333:B396" si="13">IF(C333&lt;&gt;"",MONTH(C333),"")</f>
        <v>3</v>
      </c>
      <c r="C333" s="35">
        <f t="shared" ref="C333:C396" si="14">E333</f>
        <v>42436</v>
      </c>
      <c r="D333" s="212" t="s">
        <v>876</v>
      </c>
      <c r="E333" s="35">
        <v>42436</v>
      </c>
      <c r="F333" s="144" t="s">
        <v>446</v>
      </c>
      <c r="G333" s="191" t="s">
        <v>220</v>
      </c>
      <c r="H333" s="198"/>
      <c r="I333" s="186"/>
      <c r="J333" s="186"/>
      <c r="K333" s="185"/>
      <c r="L333" s="186"/>
      <c r="M333" s="36">
        <v>21426000</v>
      </c>
      <c r="N333" s="37"/>
      <c r="O333" s="37" t="s">
        <v>34</v>
      </c>
      <c r="P333" s="47" t="str">
        <f>IF(AND('331-CT'!$F$5=TH!H333,OR(N333="331",O333="331")),"x","")</f>
        <v/>
      </c>
      <c r="Q333" s="47" t="str">
        <f>IF(AND(B333='111'!$L$11,OR($N333=$Q$7,$O333=$Q$7)),"x","")</f>
        <v/>
      </c>
      <c r="R333" s="47" t="str">
        <f>IF(AND($N333=$Q$7,$B333&lt;'111'!$L$11),"x","")</f>
        <v/>
      </c>
      <c r="S333" s="47" t="str">
        <f>IF(AND($O333=$Q$7,$B333&lt;'111'!$L$11),"x","")</f>
        <v>x</v>
      </c>
    </row>
    <row r="334" spans="1:19" ht="15.75" customHeight="1">
      <c r="A334" s="152" t="str">
        <f>IF(B334&lt;&gt;"",IF(AND(B334='IN-TC'!$S$4,OR(TH!N334="1111",TH!O334="1111")),TH!D334,""),"")</f>
        <v/>
      </c>
      <c r="B334" s="34">
        <f t="shared" si="13"/>
        <v>3</v>
      </c>
      <c r="C334" s="35">
        <f t="shared" si="14"/>
        <v>42436</v>
      </c>
      <c r="D334" s="212" t="s">
        <v>877</v>
      </c>
      <c r="E334" s="35">
        <v>42436</v>
      </c>
      <c r="F334" s="144" t="s">
        <v>447</v>
      </c>
      <c r="G334" s="191" t="s">
        <v>208</v>
      </c>
      <c r="H334" s="198"/>
      <c r="I334" s="186"/>
      <c r="J334" s="186"/>
      <c r="K334" s="185"/>
      <c r="L334" s="186"/>
      <c r="M334" s="36">
        <v>1282000</v>
      </c>
      <c r="N334" s="37"/>
      <c r="O334" s="37" t="s">
        <v>34</v>
      </c>
      <c r="P334" s="47" t="str">
        <f>IF(AND('331-CT'!$F$5=TH!H334,OR(N334="331",O334="331")),"x","")</f>
        <v/>
      </c>
      <c r="Q334" s="47" t="str">
        <f>IF(AND(B334='111'!$L$11,OR($N334=$Q$7,$O334=$Q$7)),"x","")</f>
        <v/>
      </c>
      <c r="R334" s="47" t="str">
        <f>IF(AND($N334=$Q$7,$B334&lt;'111'!$L$11),"x","")</f>
        <v/>
      </c>
      <c r="S334" s="47" t="str">
        <f>IF(AND($O334=$Q$7,$B334&lt;'111'!$L$11),"x","")</f>
        <v>x</v>
      </c>
    </row>
    <row r="335" spans="1:19" ht="15.75" customHeight="1">
      <c r="A335" s="152" t="str">
        <f>IF(B335&lt;&gt;"",IF(AND(B335='IN-TC'!$S$4,OR(TH!N335="1111",TH!O335="1111")),TH!D335,""),"")</f>
        <v/>
      </c>
      <c r="B335" s="34">
        <f t="shared" si="13"/>
        <v>3</v>
      </c>
      <c r="C335" s="35">
        <f t="shared" si="14"/>
        <v>42436</v>
      </c>
      <c r="D335" s="212" t="s">
        <v>878</v>
      </c>
      <c r="E335" s="35">
        <v>42436</v>
      </c>
      <c r="F335" s="144" t="s">
        <v>448</v>
      </c>
      <c r="G335" s="191" t="s">
        <v>219</v>
      </c>
      <c r="H335" s="198"/>
      <c r="I335" s="186"/>
      <c r="J335" s="186"/>
      <c r="K335" s="185"/>
      <c r="L335" s="186"/>
      <c r="M335" s="36">
        <v>2200000</v>
      </c>
      <c r="N335" s="37"/>
      <c r="O335" s="37" t="s">
        <v>34</v>
      </c>
      <c r="P335" s="47" t="str">
        <f>IF(AND('331-CT'!$F$5=TH!H335,OR(N335="331",O335="331")),"x","")</f>
        <v/>
      </c>
      <c r="Q335" s="47" t="str">
        <f>IF(AND(B335='111'!$L$11,OR($N335=$Q$7,$O335=$Q$7)),"x","")</f>
        <v/>
      </c>
      <c r="R335" s="47" t="str">
        <f>IF(AND($N335=$Q$7,$B335&lt;'111'!$L$11),"x","")</f>
        <v/>
      </c>
      <c r="S335" s="47" t="str">
        <f>IF(AND($O335=$Q$7,$B335&lt;'111'!$L$11),"x","")</f>
        <v>x</v>
      </c>
    </row>
    <row r="336" spans="1:19" ht="15.75" customHeight="1">
      <c r="A336" s="152" t="str">
        <f>IF(B336&lt;&gt;"",IF(AND(B336='IN-TC'!$S$4,OR(TH!N336="1111",TH!O336="1111")),TH!D336,""),"")</f>
        <v/>
      </c>
      <c r="B336" s="34">
        <f t="shared" si="13"/>
        <v>3</v>
      </c>
      <c r="C336" s="35">
        <f t="shared" si="14"/>
        <v>42437</v>
      </c>
      <c r="D336" s="212" t="s">
        <v>937</v>
      </c>
      <c r="E336" s="35">
        <v>42437</v>
      </c>
      <c r="F336" s="144" t="s">
        <v>150</v>
      </c>
      <c r="G336" s="191" t="s">
        <v>105</v>
      </c>
      <c r="H336" s="198" t="s">
        <v>1042</v>
      </c>
      <c r="I336" s="186"/>
      <c r="J336" s="186"/>
      <c r="K336" s="185"/>
      <c r="L336" s="186"/>
      <c r="M336" s="36">
        <v>200000000</v>
      </c>
      <c r="N336" s="37" t="s">
        <v>34</v>
      </c>
      <c r="O336" s="37" t="s">
        <v>812</v>
      </c>
      <c r="P336" s="47" t="str">
        <f>IF(AND('331-CT'!$F$5=TH!H336,OR(N336="331",O336="331")),"x","")</f>
        <v/>
      </c>
      <c r="Q336" s="47" t="str">
        <f>IF(AND(B336='111'!$L$11,OR($N336=$Q$7,$O336=$Q$7)),"x","")</f>
        <v/>
      </c>
      <c r="R336" s="47" t="str">
        <f>IF(AND($N336=$Q$7,$B336&lt;'111'!$L$11),"x","")</f>
        <v>x</v>
      </c>
      <c r="S336" s="47" t="str">
        <f>IF(AND($O336=$Q$7,$B336&lt;'111'!$L$11),"x","")</f>
        <v/>
      </c>
    </row>
    <row r="337" spans="1:19" ht="15.75" customHeight="1">
      <c r="A337" s="152" t="str">
        <f>IF(B337&lt;&gt;"",IF(AND(B337='IN-TC'!$S$4,OR(TH!N337="1111",TH!O337="1111")),TH!D337,""),"")</f>
        <v/>
      </c>
      <c r="B337" s="34">
        <f t="shared" si="13"/>
        <v>3</v>
      </c>
      <c r="C337" s="35">
        <f t="shared" si="14"/>
        <v>42437</v>
      </c>
      <c r="D337" s="212" t="s">
        <v>938</v>
      </c>
      <c r="E337" s="35">
        <v>42437</v>
      </c>
      <c r="F337" s="144" t="s">
        <v>151</v>
      </c>
      <c r="G337" s="191" t="s">
        <v>105</v>
      </c>
      <c r="H337" s="198"/>
      <c r="I337" s="186"/>
      <c r="J337" s="186"/>
      <c r="K337" s="185"/>
      <c r="L337" s="186"/>
      <c r="M337" s="36">
        <v>25000000</v>
      </c>
      <c r="N337" s="37" t="s">
        <v>34</v>
      </c>
      <c r="O337" s="37" t="s">
        <v>812</v>
      </c>
      <c r="P337" s="47" t="str">
        <f>IF(AND('331-CT'!$F$5=TH!H337,OR(N337="331",O337="331")),"x","")</f>
        <v/>
      </c>
      <c r="Q337" s="47" t="str">
        <f>IF(AND(B337='111'!$L$11,OR($N337=$Q$7,$O337=$Q$7)),"x","")</f>
        <v/>
      </c>
      <c r="R337" s="47" t="str">
        <f>IF(AND($N337=$Q$7,$B337&lt;'111'!$L$11),"x","")</f>
        <v>x</v>
      </c>
      <c r="S337" s="47" t="str">
        <f>IF(AND($O337=$Q$7,$B337&lt;'111'!$L$11),"x","")</f>
        <v/>
      </c>
    </row>
    <row r="338" spans="1:19" ht="15.75" customHeight="1">
      <c r="A338" s="152" t="str">
        <f>IF(B338&lt;&gt;"",IF(AND(B338='IN-TC'!$S$4,OR(TH!N338="1111",TH!O338="1111")),TH!D338,""),"")</f>
        <v/>
      </c>
      <c r="B338" s="34">
        <f t="shared" si="13"/>
        <v>3</v>
      </c>
      <c r="C338" s="35">
        <f t="shared" si="14"/>
        <v>42437</v>
      </c>
      <c r="D338" s="212" t="s">
        <v>879</v>
      </c>
      <c r="E338" s="35">
        <v>42437</v>
      </c>
      <c r="F338" s="144" t="s">
        <v>449</v>
      </c>
      <c r="G338" s="191" t="s">
        <v>204</v>
      </c>
      <c r="H338" s="198"/>
      <c r="I338" s="186"/>
      <c r="J338" s="186"/>
      <c r="K338" s="185"/>
      <c r="L338" s="186"/>
      <c r="M338" s="36">
        <v>25000000</v>
      </c>
      <c r="N338" s="37"/>
      <c r="O338" s="37" t="s">
        <v>34</v>
      </c>
      <c r="P338" s="47" t="str">
        <f>IF(AND('331-CT'!$F$5=TH!H338,OR(N338="331",O338="331")),"x","")</f>
        <v/>
      </c>
      <c r="Q338" s="47" t="str">
        <f>IF(AND(B338='111'!$L$11,OR($N338=$Q$7,$O338=$Q$7)),"x","")</f>
        <v/>
      </c>
      <c r="R338" s="47" t="str">
        <f>IF(AND($N338=$Q$7,$B338&lt;'111'!$L$11),"x","")</f>
        <v/>
      </c>
      <c r="S338" s="47" t="str">
        <f>IF(AND($O338=$Q$7,$B338&lt;'111'!$L$11),"x","")</f>
        <v>x</v>
      </c>
    </row>
    <row r="339" spans="1:19" ht="15.75" customHeight="1">
      <c r="A339" s="152" t="str">
        <f>IF(B339&lt;&gt;"",IF(AND(B339='IN-TC'!$S$4,OR(TH!N339="1111",TH!O339="1111")),TH!D339,""),"")</f>
        <v/>
      </c>
      <c r="B339" s="34">
        <f t="shared" si="13"/>
        <v>3</v>
      </c>
      <c r="C339" s="35">
        <f t="shared" si="14"/>
        <v>42437</v>
      </c>
      <c r="D339" s="212" t="s">
        <v>880</v>
      </c>
      <c r="E339" s="35">
        <v>42437</v>
      </c>
      <c r="F339" s="144" t="s">
        <v>450</v>
      </c>
      <c r="G339" s="191" t="s">
        <v>104</v>
      </c>
      <c r="H339" s="198"/>
      <c r="I339" s="186"/>
      <c r="J339" s="186"/>
      <c r="K339" s="185"/>
      <c r="L339" s="186"/>
      <c r="M339" s="36">
        <v>64000000</v>
      </c>
      <c r="N339" s="37"/>
      <c r="O339" s="37" t="s">
        <v>34</v>
      </c>
      <c r="P339" s="47" t="str">
        <f>IF(AND('331-CT'!$F$5=TH!H339,OR(N339="331",O339="331")),"x","")</f>
        <v/>
      </c>
      <c r="Q339" s="47" t="str">
        <f>IF(AND(B339='111'!$L$11,OR($N339=$Q$7,$O339=$Q$7)),"x","")</f>
        <v/>
      </c>
      <c r="R339" s="47" t="str">
        <f>IF(AND($N339=$Q$7,$B339&lt;'111'!$L$11),"x","")</f>
        <v/>
      </c>
      <c r="S339" s="47" t="str">
        <f>IF(AND($O339=$Q$7,$B339&lt;'111'!$L$11),"x","")</f>
        <v>x</v>
      </c>
    </row>
    <row r="340" spans="1:19" ht="15.75" customHeight="1">
      <c r="A340" s="152" t="str">
        <f>IF(B340&lt;&gt;"",IF(AND(B340='IN-TC'!$S$4,OR(TH!N340="1111",TH!O340="1111")),TH!D340,""),"")</f>
        <v/>
      </c>
      <c r="B340" s="34">
        <f t="shared" si="13"/>
        <v>3</v>
      </c>
      <c r="C340" s="35">
        <f t="shared" si="14"/>
        <v>42437</v>
      </c>
      <c r="D340" s="212" t="s">
        <v>881</v>
      </c>
      <c r="E340" s="35">
        <v>42437</v>
      </c>
      <c r="F340" s="144" t="s">
        <v>1382</v>
      </c>
      <c r="G340" s="191" t="s">
        <v>203</v>
      </c>
      <c r="H340" s="198" t="s">
        <v>1067</v>
      </c>
      <c r="I340" s="186"/>
      <c r="J340" s="186"/>
      <c r="K340" s="185"/>
      <c r="L340" s="186"/>
      <c r="M340" s="36">
        <v>10517000</v>
      </c>
      <c r="N340" s="37" t="s">
        <v>814</v>
      </c>
      <c r="O340" s="37" t="s">
        <v>34</v>
      </c>
      <c r="P340" s="47" t="str">
        <f>IF(AND('331-CT'!$F$5=TH!H340,OR(N340="331",O340="331")),"x","")</f>
        <v/>
      </c>
      <c r="Q340" s="47" t="str">
        <f>IF(AND(B340='111'!$L$11,OR($N340=$Q$7,$O340=$Q$7)),"x","")</f>
        <v/>
      </c>
      <c r="R340" s="47" t="str">
        <f>IF(AND($N340=$Q$7,$B340&lt;'111'!$L$11),"x","")</f>
        <v/>
      </c>
      <c r="S340" s="47" t="str">
        <f>IF(AND($O340=$Q$7,$B340&lt;'111'!$L$11),"x","")</f>
        <v>x</v>
      </c>
    </row>
    <row r="341" spans="1:19" ht="15.75" customHeight="1">
      <c r="A341" s="152" t="str">
        <f>IF(B341&lt;&gt;"",IF(AND(B341='IN-TC'!$S$4,OR(TH!N341="1111",TH!O341="1111")),TH!D341,""),"")</f>
        <v/>
      </c>
      <c r="B341" s="34">
        <f t="shared" si="13"/>
        <v>3</v>
      </c>
      <c r="C341" s="35">
        <f t="shared" si="14"/>
        <v>42437</v>
      </c>
      <c r="D341" s="212" t="s">
        <v>882</v>
      </c>
      <c r="E341" s="35">
        <v>42437</v>
      </c>
      <c r="F341" s="144" t="s">
        <v>1383</v>
      </c>
      <c r="G341" s="191" t="s">
        <v>203</v>
      </c>
      <c r="H341" s="198" t="s">
        <v>1438</v>
      </c>
      <c r="I341" s="186"/>
      <c r="J341" s="186"/>
      <c r="K341" s="185"/>
      <c r="L341" s="186"/>
      <c r="M341" s="36">
        <v>6017000</v>
      </c>
      <c r="N341" s="37" t="s">
        <v>814</v>
      </c>
      <c r="O341" s="37" t="s">
        <v>34</v>
      </c>
      <c r="P341" s="47" t="str">
        <f>IF(AND('331-CT'!$F$5=TH!H341,OR(N341="331",O341="331")),"x","")</f>
        <v/>
      </c>
      <c r="Q341" s="47" t="str">
        <f>IF(AND(B341='111'!$L$11,OR($N341=$Q$7,$O341=$Q$7)),"x","")</f>
        <v/>
      </c>
      <c r="R341" s="47" t="str">
        <f>IF(AND($N341=$Q$7,$B341&lt;'111'!$L$11),"x","")</f>
        <v/>
      </c>
      <c r="S341" s="47" t="str">
        <f>IF(AND($O341=$Q$7,$B341&lt;'111'!$L$11),"x","")</f>
        <v>x</v>
      </c>
    </row>
    <row r="342" spans="1:19" ht="15.75" customHeight="1">
      <c r="A342" s="152" t="str">
        <f>IF(B342&lt;&gt;"",IF(AND(B342='IN-TC'!$S$4,OR(TH!N342="1111",TH!O342="1111")),TH!D342,""),"")</f>
        <v/>
      </c>
      <c r="B342" s="34">
        <f t="shared" si="13"/>
        <v>3</v>
      </c>
      <c r="C342" s="35">
        <f t="shared" si="14"/>
        <v>42437</v>
      </c>
      <c r="D342" s="212" t="s">
        <v>883</v>
      </c>
      <c r="E342" s="35">
        <v>42437</v>
      </c>
      <c r="F342" s="144" t="s">
        <v>451</v>
      </c>
      <c r="G342" s="191" t="s">
        <v>111</v>
      </c>
      <c r="H342" s="198"/>
      <c r="I342" s="186"/>
      <c r="J342" s="186"/>
      <c r="K342" s="185"/>
      <c r="L342" s="186"/>
      <c r="M342" s="36">
        <v>295000</v>
      </c>
      <c r="N342" s="37"/>
      <c r="O342" s="37" t="s">
        <v>34</v>
      </c>
      <c r="P342" s="47" t="str">
        <f>IF(AND('331-CT'!$F$5=TH!H342,OR(N342="331",O342="331")),"x","")</f>
        <v/>
      </c>
      <c r="Q342" s="47" t="str">
        <f>IF(AND(B342='111'!$L$11,OR($N342=$Q$7,$O342=$Q$7)),"x","")</f>
        <v/>
      </c>
      <c r="R342" s="47" t="str">
        <f>IF(AND($N342=$Q$7,$B342&lt;'111'!$L$11),"x","")</f>
        <v/>
      </c>
      <c r="S342" s="47" t="str">
        <f>IF(AND($O342=$Q$7,$B342&lt;'111'!$L$11),"x","")</f>
        <v>x</v>
      </c>
    </row>
    <row r="343" spans="1:19" ht="15.75" customHeight="1">
      <c r="A343" s="152" t="str">
        <f>IF(B343&lt;&gt;"",IF(AND(B343='IN-TC'!$S$4,OR(TH!N343="1111",TH!O343="1111")),TH!D343,""),"")</f>
        <v/>
      </c>
      <c r="B343" s="34">
        <f t="shared" si="13"/>
        <v>3</v>
      </c>
      <c r="C343" s="35">
        <f t="shared" si="14"/>
        <v>42437</v>
      </c>
      <c r="D343" s="212" t="s">
        <v>884</v>
      </c>
      <c r="E343" s="35">
        <v>42437</v>
      </c>
      <c r="F343" s="144" t="s">
        <v>452</v>
      </c>
      <c r="G343" s="191" t="s">
        <v>221</v>
      </c>
      <c r="H343" s="198"/>
      <c r="I343" s="186"/>
      <c r="J343" s="186"/>
      <c r="K343" s="185"/>
      <c r="L343" s="186"/>
      <c r="M343" s="36">
        <v>46847000</v>
      </c>
      <c r="N343" s="37"/>
      <c r="O343" s="37" t="s">
        <v>34</v>
      </c>
      <c r="P343" s="47" t="str">
        <f>IF(AND('331-CT'!$F$5=TH!H343,OR(N343="331",O343="331")),"x","")</f>
        <v/>
      </c>
      <c r="Q343" s="47" t="str">
        <f>IF(AND(B343='111'!$L$11,OR($N343=$Q$7,$O343=$Q$7)),"x","")</f>
        <v/>
      </c>
      <c r="R343" s="47" t="str">
        <f>IF(AND($N343=$Q$7,$B343&lt;'111'!$L$11),"x","")</f>
        <v/>
      </c>
      <c r="S343" s="47" t="str">
        <f>IF(AND($O343=$Q$7,$B343&lt;'111'!$L$11),"x","")</f>
        <v>x</v>
      </c>
    </row>
    <row r="344" spans="1:19" ht="15.75" customHeight="1">
      <c r="A344" s="152" t="str">
        <f>IF(B344&lt;&gt;"",IF(AND(B344='IN-TC'!$S$4,OR(TH!N344="1111",TH!O344="1111")),TH!D344,""),"")</f>
        <v/>
      </c>
      <c r="B344" s="34">
        <f t="shared" si="13"/>
        <v>3</v>
      </c>
      <c r="C344" s="35">
        <f t="shared" si="14"/>
        <v>42437</v>
      </c>
      <c r="D344" s="212" t="s">
        <v>885</v>
      </c>
      <c r="E344" s="35">
        <v>42437</v>
      </c>
      <c r="F344" s="144" t="s">
        <v>453</v>
      </c>
      <c r="G344" s="191" t="s">
        <v>202</v>
      </c>
      <c r="H344" s="198"/>
      <c r="I344" s="186"/>
      <c r="J344" s="186"/>
      <c r="K344" s="185"/>
      <c r="L344" s="186"/>
      <c r="M344" s="36">
        <v>3122000</v>
      </c>
      <c r="N344" s="37"/>
      <c r="O344" s="37" t="s">
        <v>34</v>
      </c>
      <c r="P344" s="47" t="str">
        <f>IF(AND('331-CT'!$F$5=TH!H344,OR(N344="331",O344="331")),"x","")</f>
        <v/>
      </c>
      <c r="Q344" s="47" t="str">
        <f>IF(AND(B344='111'!$L$11,OR($N344=$Q$7,$O344=$Q$7)),"x","")</f>
        <v/>
      </c>
      <c r="R344" s="47" t="str">
        <f>IF(AND($N344=$Q$7,$B344&lt;'111'!$L$11),"x","")</f>
        <v/>
      </c>
      <c r="S344" s="47" t="str">
        <f>IF(AND($O344=$Q$7,$B344&lt;'111'!$L$11),"x","")</f>
        <v>x</v>
      </c>
    </row>
    <row r="345" spans="1:19" ht="15.75" customHeight="1">
      <c r="A345" s="152" t="str">
        <f>IF(B345&lt;&gt;"",IF(AND(B345='IN-TC'!$S$4,OR(TH!N345="1111",TH!O345="1111")),TH!D345,""),"")</f>
        <v/>
      </c>
      <c r="B345" s="34">
        <f t="shared" si="13"/>
        <v>3</v>
      </c>
      <c r="C345" s="35">
        <f t="shared" si="14"/>
        <v>42437</v>
      </c>
      <c r="D345" s="212"/>
      <c r="E345" s="35">
        <v>42437</v>
      </c>
      <c r="F345" s="144" t="s">
        <v>1506</v>
      </c>
      <c r="G345" s="191"/>
      <c r="H345" s="198" t="s">
        <v>848</v>
      </c>
      <c r="I345" s="186">
        <v>2000</v>
      </c>
      <c r="J345" s="186">
        <v>48500</v>
      </c>
      <c r="K345" s="185"/>
      <c r="L345" s="186"/>
      <c r="M345" s="36">
        <f>ROUND(I345*J345,-3)</f>
        <v>97000000</v>
      </c>
      <c r="N345" s="37" t="s">
        <v>1443</v>
      </c>
      <c r="O345" s="37" t="s">
        <v>8</v>
      </c>
      <c r="P345" s="47" t="str">
        <f>IF(AND('331-CT'!$F$5=TH!H345,OR(N345="331",O345="331")),"x","")</f>
        <v/>
      </c>
      <c r="Q345" s="47" t="str">
        <f>IF(AND(B345='111'!$L$11,OR($N345=$Q$7,$O345=$Q$7)),"x","")</f>
        <v/>
      </c>
      <c r="R345" s="47" t="str">
        <f>IF(AND($N345=$Q$7,$B345&lt;'111'!$L$11),"x","")</f>
        <v/>
      </c>
      <c r="S345" s="47" t="str">
        <f>IF(AND($O345=$Q$7,$B345&lt;'111'!$L$11),"x","")</f>
        <v/>
      </c>
    </row>
    <row r="346" spans="1:19" ht="15.75" customHeight="1">
      <c r="A346" s="152" t="str">
        <f>IF(B346&lt;&gt;"",IF(AND(B346='IN-TC'!$S$4,OR(TH!N346="1111",TH!O346="1111")),TH!D346,""),"")</f>
        <v/>
      </c>
      <c r="B346" s="34">
        <f t="shared" si="13"/>
        <v>3</v>
      </c>
      <c r="C346" s="35">
        <f t="shared" si="14"/>
        <v>42437</v>
      </c>
      <c r="D346" s="212"/>
      <c r="E346" s="35">
        <v>42437</v>
      </c>
      <c r="F346" s="144" t="s">
        <v>1516</v>
      </c>
      <c r="G346" s="191"/>
      <c r="H346" s="198" t="s">
        <v>848</v>
      </c>
      <c r="I346" s="186"/>
      <c r="J346" s="186"/>
      <c r="K346" s="185"/>
      <c r="L346" s="186"/>
      <c r="M346" s="36">
        <v>18000000</v>
      </c>
      <c r="N346" s="37" t="s">
        <v>8</v>
      </c>
      <c r="O346" s="37" t="s">
        <v>1457</v>
      </c>
      <c r="P346" s="47" t="str">
        <f>IF(AND('331-CT'!$F$5=TH!H346,OR(N346="331",O346="331")),"x","")</f>
        <v/>
      </c>
      <c r="Q346" s="47" t="str">
        <f>IF(AND(B346='111'!$L$11,OR($N346=$Q$7,$O346=$Q$7)),"x","")</f>
        <v/>
      </c>
      <c r="R346" s="47" t="str">
        <f>IF(AND($N346=$Q$7,$B346&lt;'111'!$L$11),"x","")</f>
        <v/>
      </c>
      <c r="S346" s="47" t="str">
        <f>IF(AND($O346=$Q$7,$B346&lt;'111'!$L$11),"x","")</f>
        <v/>
      </c>
    </row>
    <row r="347" spans="1:19" ht="15.75" customHeight="1">
      <c r="A347" s="152" t="str">
        <f>IF(B347&lt;&gt;"",IF(AND(B347='IN-TC'!$S$4,OR(TH!N347="1111",TH!O347="1111")),TH!D347,""),"")</f>
        <v/>
      </c>
      <c r="B347" s="34">
        <f t="shared" si="13"/>
        <v>3</v>
      </c>
      <c r="C347" s="35">
        <f t="shared" si="14"/>
        <v>42438</v>
      </c>
      <c r="D347" s="212" t="s">
        <v>886</v>
      </c>
      <c r="E347" s="35">
        <v>42438</v>
      </c>
      <c r="F347" s="144" t="s">
        <v>454</v>
      </c>
      <c r="G347" s="191" t="s">
        <v>207</v>
      </c>
      <c r="H347" s="198"/>
      <c r="I347" s="186"/>
      <c r="J347" s="186"/>
      <c r="K347" s="185"/>
      <c r="L347" s="186"/>
      <c r="M347" s="36">
        <v>500000</v>
      </c>
      <c r="N347" s="37"/>
      <c r="O347" s="37" t="s">
        <v>34</v>
      </c>
      <c r="P347" s="47" t="str">
        <f>IF(AND('331-CT'!$F$5=TH!H347,OR(N347="331",O347="331")),"x","")</f>
        <v/>
      </c>
      <c r="Q347" s="47" t="str">
        <f>IF(AND(B347='111'!$L$11,OR($N347=$Q$7,$O347=$Q$7)),"x","")</f>
        <v/>
      </c>
      <c r="R347" s="47" t="str">
        <f>IF(AND($N347=$Q$7,$B347&lt;'111'!$L$11),"x","")</f>
        <v/>
      </c>
      <c r="S347" s="47" t="str">
        <f>IF(AND($O347=$Q$7,$B347&lt;'111'!$L$11),"x","")</f>
        <v>x</v>
      </c>
    </row>
    <row r="348" spans="1:19" ht="15.75" customHeight="1">
      <c r="A348" s="152" t="str">
        <f>IF(B348&lt;&gt;"",IF(AND(B348='IN-TC'!$S$4,OR(TH!N348="1111",TH!O348="1111")),TH!D348,""),"")</f>
        <v/>
      </c>
      <c r="B348" s="34">
        <f t="shared" si="13"/>
        <v>3</v>
      </c>
      <c r="C348" s="35">
        <f t="shared" si="14"/>
        <v>42438</v>
      </c>
      <c r="D348" s="212" t="s">
        <v>887</v>
      </c>
      <c r="E348" s="35">
        <v>42438</v>
      </c>
      <c r="F348" s="144" t="s">
        <v>455</v>
      </c>
      <c r="G348" s="191" t="s">
        <v>202</v>
      </c>
      <c r="H348" s="198"/>
      <c r="I348" s="186"/>
      <c r="J348" s="186"/>
      <c r="K348" s="185"/>
      <c r="L348" s="186"/>
      <c r="M348" s="36">
        <v>995000</v>
      </c>
      <c r="N348" s="37"/>
      <c r="O348" s="37" t="s">
        <v>34</v>
      </c>
      <c r="P348" s="47" t="str">
        <f>IF(AND('331-CT'!$F$5=TH!H348,OR(N348="331",O348="331")),"x","")</f>
        <v/>
      </c>
      <c r="Q348" s="47" t="str">
        <f>IF(AND(B348='111'!$L$11,OR($N348=$Q$7,$O348=$Q$7)),"x","")</f>
        <v/>
      </c>
      <c r="R348" s="47" t="str">
        <f>IF(AND($N348=$Q$7,$B348&lt;'111'!$L$11),"x","")</f>
        <v/>
      </c>
      <c r="S348" s="47" t="str">
        <f>IF(AND($O348=$Q$7,$B348&lt;'111'!$L$11),"x","")</f>
        <v>x</v>
      </c>
    </row>
    <row r="349" spans="1:19" ht="15.75" customHeight="1">
      <c r="A349" s="152" t="str">
        <f>IF(B349&lt;&gt;"",IF(AND(B349='IN-TC'!$S$4,OR(TH!N349="1111",TH!O349="1111")),TH!D349,""),"")</f>
        <v/>
      </c>
      <c r="B349" s="34">
        <f t="shared" si="13"/>
        <v>3</v>
      </c>
      <c r="C349" s="35">
        <f t="shared" si="14"/>
        <v>42438</v>
      </c>
      <c r="D349" s="212" t="s">
        <v>888</v>
      </c>
      <c r="E349" s="35">
        <v>42438</v>
      </c>
      <c r="F349" s="144" t="s">
        <v>456</v>
      </c>
      <c r="G349" s="191" t="s">
        <v>212</v>
      </c>
      <c r="H349" s="198"/>
      <c r="I349" s="186"/>
      <c r="J349" s="186"/>
      <c r="K349" s="185"/>
      <c r="L349" s="186"/>
      <c r="M349" s="36">
        <v>22460000</v>
      </c>
      <c r="N349" s="37"/>
      <c r="O349" s="37" t="s">
        <v>34</v>
      </c>
      <c r="P349" s="47" t="str">
        <f>IF(AND('331-CT'!$F$5=TH!H349,OR(N349="331",O349="331")),"x","")</f>
        <v/>
      </c>
      <c r="Q349" s="47" t="str">
        <f>IF(AND(B349='111'!$L$11,OR($N349=$Q$7,$O349=$Q$7)),"x","")</f>
        <v/>
      </c>
      <c r="R349" s="47" t="str">
        <f>IF(AND($N349=$Q$7,$B349&lt;'111'!$L$11),"x","")</f>
        <v/>
      </c>
      <c r="S349" s="47" t="str">
        <f>IF(AND($O349=$Q$7,$B349&lt;'111'!$L$11),"x","")</f>
        <v>x</v>
      </c>
    </row>
    <row r="350" spans="1:19" ht="15.75" customHeight="1">
      <c r="A350" s="152" t="str">
        <f>IF(B350&lt;&gt;"",IF(AND(B350='IN-TC'!$S$4,OR(TH!N350="1111",TH!O350="1111")),TH!D350,""),"")</f>
        <v/>
      </c>
      <c r="B350" s="34">
        <f t="shared" si="13"/>
        <v>3</v>
      </c>
      <c r="C350" s="35">
        <f t="shared" si="14"/>
        <v>42438</v>
      </c>
      <c r="D350" s="212" t="s">
        <v>889</v>
      </c>
      <c r="E350" s="35">
        <v>42438</v>
      </c>
      <c r="F350" s="144" t="s">
        <v>457</v>
      </c>
      <c r="G350" s="191" t="s">
        <v>202</v>
      </c>
      <c r="H350" s="198"/>
      <c r="I350" s="186"/>
      <c r="J350" s="186"/>
      <c r="K350" s="185"/>
      <c r="L350" s="186"/>
      <c r="M350" s="36">
        <v>12500000</v>
      </c>
      <c r="N350" s="37"/>
      <c r="O350" s="37" t="s">
        <v>34</v>
      </c>
      <c r="P350" s="47" t="str">
        <f>IF(AND('331-CT'!$F$5=TH!H350,OR(N350="331",O350="331")),"x","")</f>
        <v/>
      </c>
      <c r="Q350" s="47" t="str">
        <f>IF(AND(B350='111'!$L$11,OR($N350=$Q$7,$O350=$Q$7)),"x","")</f>
        <v/>
      </c>
      <c r="R350" s="47" t="str">
        <f>IF(AND($N350=$Q$7,$B350&lt;'111'!$L$11),"x","")</f>
        <v/>
      </c>
      <c r="S350" s="47" t="str">
        <f>IF(AND($O350=$Q$7,$B350&lt;'111'!$L$11),"x","")</f>
        <v>x</v>
      </c>
    </row>
    <row r="351" spans="1:19" ht="15.75" customHeight="1">
      <c r="A351" s="152" t="str">
        <f>IF(B351&lt;&gt;"",IF(AND(B351='IN-TC'!$S$4,OR(TH!N351="1111",TH!O351="1111")),TH!D351,""),"")</f>
        <v/>
      </c>
      <c r="B351" s="34">
        <f t="shared" si="13"/>
        <v>3</v>
      </c>
      <c r="C351" s="35">
        <f t="shared" si="14"/>
        <v>42438</v>
      </c>
      <c r="D351" s="212"/>
      <c r="E351" s="35">
        <v>42438</v>
      </c>
      <c r="F351" s="144" t="s">
        <v>1496</v>
      </c>
      <c r="G351" s="191" t="s">
        <v>204</v>
      </c>
      <c r="H351" s="198" t="s">
        <v>827</v>
      </c>
      <c r="I351" s="186">
        <v>13476</v>
      </c>
      <c r="J351" s="186">
        <v>8500</v>
      </c>
      <c r="K351" s="185"/>
      <c r="L351" s="186"/>
      <c r="M351" s="36">
        <f>ROUND(I351*J351,-3)</f>
        <v>114546000</v>
      </c>
      <c r="N351" s="37" t="s">
        <v>1443</v>
      </c>
      <c r="O351" s="37" t="s">
        <v>8</v>
      </c>
      <c r="P351" s="47" t="str">
        <f>IF(AND('331-CT'!$F$5=TH!H351,OR(N351="331",O351="331")),"x","")</f>
        <v/>
      </c>
      <c r="Q351" s="47" t="str">
        <f>IF(AND(B351='111'!$L$11,OR($N351=$Q$7,$O351=$Q$7)),"x","")</f>
        <v/>
      </c>
      <c r="R351" s="47" t="str">
        <f>IF(AND($N351=$Q$7,$B351&lt;'111'!$L$11),"x","")</f>
        <v/>
      </c>
      <c r="S351" s="47" t="str">
        <f>IF(AND($O351=$Q$7,$B351&lt;'111'!$L$11),"x","")</f>
        <v/>
      </c>
    </row>
    <row r="352" spans="1:19" ht="15.75" customHeight="1">
      <c r="A352" s="152" t="str">
        <f>IF(B352&lt;&gt;"",IF(AND(B352='IN-TC'!$S$4,OR(TH!N352="1111",TH!O352="1111")),TH!D352,""),"")</f>
        <v/>
      </c>
      <c r="B352" s="34">
        <f t="shared" si="13"/>
        <v>3</v>
      </c>
      <c r="C352" s="35">
        <f t="shared" si="14"/>
        <v>42438</v>
      </c>
      <c r="D352" s="212"/>
      <c r="E352" s="35">
        <v>42438</v>
      </c>
      <c r="F352" s="144" t="s">
        <v>1496</v>
      </c>
      <c r="G352" s="191" t="s">
        <v>204</v>
      </c>
      <c r="H352" s="198" t="s">
        <v>827</v>
      </c>
      <c r="I352" s="186">
        <v>13502</v>
      </c>
      <c r="J352" s="186">
        <v>8500</v>
      </c>
      <c r="K352" s="185"/>
      <c r="L352" s="186"/>
      <c r="M352" s="36">
        <f>ROUND(I352*J352,-3)</f>
        <v>114767000</v>
      </c>
      <c r="N352" s="37" t="s">
        <v>1443</v>
      </c>
      <c r="O352" s="37" t="s">
        <v>8</v>
      </c>
      <c r="P352" s="47" t="str">
        <f>IF(AND('331-CT'!$F$5=TH!H352,OR(N352="331",O352="331")),"x","")</f>
        <v/>
      </c>
      <c r="Q352" s="47" t="str">
        <f>IF(AND(B352='111'!$L$11,OR($N352=$Q$7,$O352=$Q$7)),"x","")</f>
        <v/>
      </c>
      <c r="R352" s="47" t="str">
        <f>IF(AND($N352=$Q$7,$B352&lt;'111'!$L$11),"x","")</f>
        <v/>
      </c>
      <c r="S352" s="47" t="str">
        <f>IF(AND($O352=$Q$7,$B352&lt;'111'!$L$11),"x","")</f>
        <v/>
      </c>
    </row>
    <row r="353" spans="1:19" ht="15.75" customHeight="1">
      <c r="A353" s="152" t="str">
        <f>IF(B353&lt;&gt;"",IF(AND(B353='IN-TC'!$S$4,OR(TH!N353="1111",TH!O353="1111")),TH!D353,""),"")</f>
        <v/>
      </c>
      <c r="B353" s="34">
        <f t="shared" si="13"/>
        <v>3</v>
      </c>
      <c r="C353" s="35">
        <f t="shared" si="14"/>
        <v>42438</v>
      </c>
      <c r="D353" s="212"/>
      <c r="E353" s="35">
        <v>42438</v>
      </c>
      <c r="F353" s="144" t="s">
        <v>1496</v>
      </c>
      <c r="G353" s="191" t="s">
        <v>204</v>
      </c>
      <c r="H353" s="198" t="s">
        <v>827</v>
      </c>
      <c r="I353" s="186">
        <v>4646</v>
      </c>
      <c r="J353" s="186">
        <v>8500</v>
      </c>
      <c r="K353" s="185"/>
      <c r="L353" s="186"/>
      <c r="M353" s="36">
        <f>ROUND(I353*J353,-3)</f>
        <v>39491000</v>
      </c>
      <c r="N353" s="37" t="s">
        <v>1443</v>
      </c>
      <c r="O353" s="37" t="s">
        <v>8</v>
      </c>
      <c r="P353" s="47" t="str">
        <f>IF(AND('331-CT'!$F$5=TH!H353,OR(N353="331",O353="331")),"x","")</f>
        <v/>
      </c>
      <c r="Q353" s="47" t="str">
        <f>IF(AND(B353='111'!$L$11,OR($N353=$Q$7,$O353=$Q$7)),"x","")</f>
        <v/>
      </c>
      <c r="R353" s="47" t="str">
        <f>IF(AND($N353=$Q$7,$B353&lt;'111'!$L$11),"x","")</f>
        <v/>
      </c>
      <c r="S353" s="47" t="str">
        <f>IF(AND($O353=$Q$7,$B353&lt;'111'!$L$11),"x","")</f>
        <v/>
      </c>
    </row>
    <row r="354" spans="1:19" ht="15.75" customHeight="1">
      <c r="A354" s="152" t="str">
        <f>IF(B354&lt;&gt;"",IF(AND(B354='IN-TC'!$S$4,OR(TH!N354="1111",TH!O354="1111")),TH!D354,""),"")</f>
        <v/>
      </c>
      <c r="B354" s="34">
        <f t="shared" si="13"/>
        <v>3</v>
      </c>
      <c r="C354" s="35">
        <f t="shared" si="14"/>
        <v>42439</v>
      </c>
      <c r="D354" s="212" t="s">
        <v>939</v>
      </c>
      <c r="E354" s="35">
        <v>42439</v>
      </c>
      <c r="F354" s="144" t="s">
        <v>130</v>
      </c>
      <c r="G354" s="191" t="s">
        <v>105</v>
      </c>
      <c r="H354" s="198" t="s">
        <v>1434</v>
      </c>
      <c r="I354" s="186"/>
      <c r="J354" s="186"/>
      <c r="K354" s="185"/>
      <c r="L354" s="186"/>
      <c r="M354" s="36">
        <v>40000000</v>
      </c>
      <c r="N354" s="37" t="s">
        <v>34</v>
      </c>
      <c r="O354" s="37" t="s">
        <v>812</v>
      </c>
      <c r="P354" s="47" t="str">
        <f>IF(AND('331-CT'!$F$5=TH!H354,OR(N354="331",O354="331")),"x","")</f>
        <v/>
      </c>
      <c r="Q354" s="47" t="str">
        <f>IF(AND(B354='111'!$L$11,OR($N354=$Q$7,$O354=$Q$7)),"x","")</f>
        <v/>
      </c>
      <c r="R354" s="47" t="str">
        <f>IF(AND($N354=$Q$7,$B354&lt;'111'!$L$11),"x","")</f>
        <v>x</v>
      </c>
      <c r="S354" s="47" t="str">
        <f>IF(AND($O354=$Q$7,$B354&lt;'111'!$L$11),"x","")</f>
        <v/>
      </c>
    </row>
    <row r="355" spans="1:19" ht="15.75" customHeight="1">
      <c r="A355" s="152" t="str">
        <f>IF(B355&lt;&gt;"",IF(AND(B355='IN-TC'!$S$4,OR(TH!N355="1111",TH!O355="1111")),TH!D355,""),"")</f>
        <v/>
      </c>
      <c r="B355" s="34">
        <f t="shared" si="13"/>
        <v>3</v>
      </c>
      <c r="C355" s="35">
        <f t="shared" si="14"/>
        <v>42439</v>
      </c>
      <c r="D355" s="212" t="s">
        <v>930</v>
      </c>
      <c r="E355" s="35">
        <v>42439</v>
      </c>
      <c r="F355" s="144" t="s">
        <v>152</v>
      </c>
      <c r="G355" s="191" t="s">
        <v>111</v>
      </c>
      <c r="H355" s="198"/>
      <c r="I355" s="186"/>
      <c r="J355" s="186"/>
      <c r="K355" s="185"/>
      <c r="L355" s="186"/>
      <c r="M355" s="36">
        <v>4000000</v>
      </c>
      <c r="N355" s="37" t="s">
        <v>34</v>
      </c>
      <c r="O355" s="37"/>
      <c r="P355" s="47" t="str">
        <f>IF(AND('331-CT'!$F$5=TH!H355,OR(N355="331",O355="331")),"x","")</f>
        <v/>
      </c>
      <c r="Q355" s="47" t="str">
        <f>IF(AND(B355='111'!$L$11,OR($N355=$Q$7,$O355=$Q$7)),"x","")</f>
        <v/>
      </c>
      <c r="R355" s="47" t="str">
        <f>IF(AND($N355=$Q$7,$B355&lt;'111'!$L$11),"x","")</f>
        <v>x</v>
      </c>
      <c r="S355" s="47" t="str">
        <f>IF(AND($O355=$Q$7,$B355&lt;'111'!$L$11),"x","")</f>
        <v/>
      </c>
    </row>
    <row r="356" spans="1:19" ht="15.75" customHeight="1">
      <c r="A356" s="152" t="str">
        <f>IF(B356&lt;&gt;"",IF(AND(B356='IN-TC'!$S$4,OR(TH!N356="1111",TH!O356="1111")),TH!D356,""),"")</f>
        <v/>
      </c>
      <c r="B356" s="34">
        <f t="shared" si="13"/>
        <v>3</v>
      </c>
      <c r="C356" s="35">
        <f t="shared" si="14"/>
        <v>42439</v>
      </c>
      <c r="D356" s="212" t="s">
        <v>890</v>
      </c>
      <c r="E356" s="35">
        <v>42439</v>
      </c>
      <c r="F356" s="144" t="s">
        <v>458</v>
      </c>
      <c r="G356" s="191" t="s">
        <v>202</v>
      </c>
      <c r="H356" s="198"/>
      <c r="I356" s="186"/>
      <c r="J356" s="186"/>
      <c r="K356" s="185"/>
      <c r="L356" s="186"/>
      <c r="M356" s="36">
        <v>2650000</v>
      </c>
      <c r="N356" s="37"/>
      <c r="O356" s="37" t="s">
        <v>34</v>
      </c>
      <c r="P356" s="47" t="str">
        <f>IF(AND('331-CT'!$F$5=TH!H356,OR(N356="331",O356="331")),"x","")</f>
        <v/>
      </c>
      <c r="Q356" s="47" t="str">
        <f>IF(AND(B356='111'!$L$11,OR($N356=$Q$7,$O356=$Q$7)),"x","")</f>
        <v/>
      </c>
      <c r="R356" s="47" t="str">
        <f>IF(AND($N356=$Q$7,$B356&lt;'111'!$L$11),"x","")</f>
        <v/>
      </c>
      <c r="S356" s="47" t="str">
        <f>IF(AND($O356=$Q$7,$B356&lt;'111'!$L$11),"x","")</f>
        <v>x</v>
      </c>
    </row>
    <row r="357" spans="1:19" ht="15.75" customHeight="1">
      <c r="A357" s="152" t="str">
        <f>IF(B357&lt;&gt;"",IF(AND(B357='IN-TC'!$S$4,OR(TH!N357="1111",TH!O357="1111")),TH!D357,""),"")</f>
        <v/>
      </c>
      <c r="B357" s="34">
        <f t="shared" si="13"/>
        <v>3</v>
      </c>
      <c r="C357" s="35">
        <f t="shared" si="14"/>
        <v>42439</v>
      </c>
      <c r="D357" s="212" t="s">
        <v>891</v>
      </c>
      <c r="E357" s="35">
        <v>42439</v>
      </c>
      <c r="F357" s="144" t="s">
        <v>459</v>
      </c>
      <c r="G357" s="191" t="s">
        <v>223</v>
      </c>
      <c r="H357" s="198"/>
      <c r="I357" s="186"/>
      <c r="J357" s="186"/>
      <c r="K357" s="185"/>
      <c r="L357" s="186"/>
      <c r="M357" s="36">
        <v>40000000</v>
      </c>
      <c r="N357" s="37"/>
      <c r="O357" s="37" t="s">
        <v>34</v>
      </c>
      <c r="P357" s="47" t="str">
        <f>IF(AND('331-CT'!$F$5=TH!H357,OR(N357="331",O357="331")),"x","")</f>
        <v/>
      </c>
      <c r="Q357" s="47" t="str">
        <f>IF(AND(B357='111'!$L$11,OR($N357=$Q$7,$O357=$Q$7)),"x","")</f>
        <v/>
      </c>
      <c r="R357" s="47" t="str">
        <f>IF(AND($N357=$Q$7,$B357&lt;'111'!$L$11),"x","")</f>
        <v/>
      </c>
      <c r="S357" s="47" t="str">
        <f>IF(AND($O357=$Q$7,$B357&lt;'111'!$L$11),"x","")</f>
        <v>x</v>
      </c>
    </row>
    <row r="358" spans="1:19" ht="15.75" customHeight="1">
      <c r="A358" s="152" t="str">
        <f>IF(B358&lt;&gt;"",IF(AND(B358='IN-TC'!$S$4,OR(TH!N358="1111",TH!O358="1111")),TH!D358,""),"")</f>
        <v/>
      </c>
      <c r="B358" s="34">
        <f t="shared" si="13"/>
        <v>3</v>
      </c>
      <c r="C358" s="35">
        <f t="shared" si="14"/>
        <v>42439</v>
      </c>
      <c r="D358" s="212" t="s">
        <v>892</v>
      </c>
      <c r="E358" s="35">
        <v>42439</v>
      </c>
      <c r="F358" s="144" t="s">
        <v>460</v>
      </c>
      <c r="G358" s="191" t="s">
        <v>111</v>
      </c>
      <c r="H358" s="198"/>
      <c r="I358" s="186"/>
      <c r="J358" s="186"/>
      <c r="K358" s="185"/>
      <c r="L358" s="186"/>
      <c r="M358" s="36">
        <v>288000</v>
      </c>
      <c r="N358" s="37"/>
      <c r="O358" s="37" t="s">
        <v>34</v>
      </c>
      <c r="P358" s="47" t="str">
        <f>IF(AND('331-CT'!$F$5=TH!H358,OR(N358="331",O358="331")),"x","")</f>
        <v/>
      </c>
      <c r="Q358" s="47" t="str">
        <f>IF(AND(B358='111'!$L$11,OR($N358=$Q$7,$O358=$Q$7)),"x","")</f>
        <v/>
      </c>
      <c r="R358" s="47" t="str">
        <f>IF(AND($N358=$Q$7,$B358&lt;'111'!$L$11),"x","")</f>
        <v/>
      </c>
      <c r="S358" s="47" t="str">
        <f>IF(AND($O358=$Q$7,$B358&lt;'111'!$L$11),"x","")</f>
        <v>x</v>
      </c>
    </row>
    <row r="359" spans="1:19" ht="15.75" customHeight="1">
      <c r="A359" s="152" t="str">
        <f>IF(B359&lt;&gt;"",IF(AND(B359='IN-TC'!$S$4,OR(TH!N359="1111",TH!O359="1111")),TH!D359,""),"")</f>
        <v/>
      </c>
      <c r="B359" s="34">
        <f t="shared" si="13"/>
        <v>3</v>
      </c>
      <c r="C359" s="35">
        <f t="shared" si="14"/>
        <v>42439</v>
      </c>
      <c r="D359" s="212" t="s">
        <v>893</v>
      </c>
      <c r="E359" s="35">
        <v>42439</v>
      </c>
      <c r="F359" s="144" t="s">
        <v>461</v>
      </c>
      <c r="G359" s="191" t="s">
        <v>207</v>
      </c>
      <c r="H359" s="198"/>
      <c r="I359" s="186"/>
      <c r="J359" s="186"/>
      <c r="K359" s="185"/>
      <c r="L359" s="186"/>
      <c r="M359" s="36">
        <v>420000</v>
      </c>
      <c r="N359" s="37"/>
      <c r="O359" s="37" t="s">
        <v>34</v>
      </c>
      <c r="P359" s="47" t="str">
        <f>IF(AND('331-CT'!$F$5=TH!H359,OR(N359="331",O359="331")),"x","")</f>
        <v/>
      </c>
      <c r="Q359" s="47" t="str">
        <f>IF(AND(B359='111'!$L$11,OR($N359=$Q$7,$O359=$Q$7)),"x","")</f>
        <v/>
      </c>
      <c r="R359" s="47" t="str">
        <f>IF(AND($N359=$Q$7,$B359&lt;'111'!$L$11),"x","")</f>
        <v/>
      </c>
      <c r="S359" s="47" t="str">
        <f>IF(AND($O359=$Q$7,$B359&lt;'111'!$L$11),"x","")</f>
        <v>x</v>
      </c>
    </row>
    <row r="360" spans="1:19" ht="15.75" customHeight="1">
      <c r="A360" s="152" t="str">
        <f>IF(B360&lt;&gt;"",IF(AND(B360='IN-TC'!$S$4,OR(TH!N360="1111",TH!O360="1111")),TH!D360,""),"")</f>
        <v/>
      </c>
      <c r="B360" s="34">
        <f t="shared" si="13"/>
        <v>3</v>
      </c>
      <c r="C360" s="35">
        <f t="shared" si="14"/>
        <v>42440</v>
      </c>
      <c r="D360" s="212" t="s">
        <v>1012</v>
      </c>
      <c r="E360" s="35">
        <v>42440</v>
      </c>
      <c r="F360" s="144" t="s">
        <v>153</v>
      </c>
      <c r="G360" s="191" t="s">
        <v>106</v>
      </c>
      <c r="H360" s="198"/>
      <c r="I360" s="186"/>
      <c r="J360" s="186"/>
      <c r="K360" s="185"/>
      <c r="L360" s="186"/>
      <c r="M360" s="36">
        <v>14700000</v>
      </c>
      <c r="N360" s="37" t="s">
        <v>34</v>
      </c>
      <c r="O360" s="37"/>
      <c r="P360" s="47" t="str">
        <f>IF(AND('331-CT'!$F$5=TH!H360,OR(N360="331",O360="331")),"x","")</f>
        <v/>
      </c>
      <c r="Q360" s="47" t="str">
        <f>IF(AND(B360='111'!$L$11,OR($N360=$Q$7,$O360=$Q$7)),"x","")</f>
        <v/>
      </c>
      <c r="R360" s="47" t="str">
        <f>IF(AND($N360=$Q$7,$B360&lt;'111'!$L$11),"x","")</f>
        <v>x</v>
      </c>
      <c r="S360" s="47" t="str">
        <f>IF(AND($O360=$Q$7,$B360&lt;'111'!$L$11),"x","")</f>
        <v/>
      </c>
    </row>
    <row r="361" spans="1:19" ht="15.75" customHeight="1">
      <c r="A361" s="152" t="str">
        <f>IF(B361&lt;&gt;"",IF(AND(B361='IN-TC'!$S$4,OR(TH!N361="1111",TH!O361="1111")),TH!D361,""),"")</f>
        <v/>
      </c>
      <c r="B361" s="34">
        <f t="shared" si="13"/>
        <v>3</v>
      </c>
      <c r="C361" s="35">
        <f t="shared" si="14"/>
        <v>42440</v>
      </c>
      <c r="D361" s="212" t="s">
        <v>894</v>
      </c>
      <c r="E361" s="35">
        <v>42440</v>
      </c>
      <c r="F361" s="144" t="s">
        <v>462</v>
      </c>
      <c r="G361" s="191" t="s">
        <v>202</v>
      </c>
      <c r="H361" s="198"/>
      <c r="I361" s="186"/>
      <c r="J361" s="186"/>
      <c r="K361" s="185"/>
      <c r="L361" s="186"/>
      <c r="M361" s="36">
        <v>420000</v>
      </c>
      <c r="N361" s="37"/>
      <c r="O361" s="37" t="s">
        <v>34</v>
      </c>
      <c r="P361" s="47" t="str">
        <f>IF(AND('331-CT'!$F$5=TH!H361,OR(N361="331",O361="331")),"x","")</f>
        <v/>
      </c>
      <c r="Q361" s="47" t="str">
        <f>IF(AND(B361='111'!$L$11,OR($N361=$Q$7,$O361=$Q$7)),"x","")</f>
        <v/>
      </c>
      <c r="R361" s="47" t="str">
        <f>IF(AND($N361=$Q$7,$B361&lt;'111'!$L$11),"x","")</f>
        <v/>
      </c>
      <c r="S361" s="47" t="str">
        <f>IF(AND($O361=$Q$7,$B361&lt;'111'!$L$11),"x","")</f>
        <v>x</v>
      </c>
    </row>
    <row r="362" spans="1:19" ht="15.75" customHeight="1">
      <c r="A362" s="152" t="str">
        <f>IF(B362&lt;&gt;"",IF(AND(B362='IN-TC'!$S$4,OR(TH!N362="1111",TH!O362="1111")),TH!D362,""),"")</f>
        <v/>
      </c>
      <c r="B362" s="34">
        <f t="shared" si="13"/>
        <v>3</v>
      </c>
      <c r="C362" s="35">
        <f t="shared" si="14"/>
        <v>42440</v>
      </c>
      <c r="D362" s="212" t="s">
        <v>895</v>
      </c>
      <c r="E362" s="35">
        <v>42440</v>
      </c>
      <c r="F362" s="144" t="s">
        <v>463</v>
      </c>
      <c r="G362" s="191" t="s">
        <v>202</v>
      </c>
      <c r="H362" s="198"/>
      <c r="I362" s="186"/>
      <c r="J362" s="186"/>
      <c r="K362" s="185"/>
      <c r="L362" s="186"/>
      <c r="M362" s="36">
        <v>2102000</v>
      </c>
      <c r="N362" s="37"/>
      <c r="O362" s="37" t="s">
        <v>34</v>
      </c>
      <c r="P362" s="47" t="str">
        <f>IF(AND('331-CT'!$F$5=TH!H362,OR(N362="331",O362="331")),"x","")</f>
        <v/>
      </c>
      <c r="Q362" s="47" t="str">
        <f>IF(AND(B362='111'!$L$11,OR($N362=$Q$7,$O362=$Q$7)),"x","")</f>
        <v/>
      </c>
      <c r="R362" s="47" t="str">
        <f>IF(AND($N362=$Q$7,$B362&lt;'111'!$L$11),"x","")</f>
        <v/>
      </c>
      <c r="S362" s="47" t="str">
        <f>IF(AND($O362=$Q$7,$B362&lt;'111'!$L$11),"x","")</f>
        <v>x</v>
      </c>
    </row>
    <row r="363" spans="1:19" ht="15.75" customHeight="1">
      <c r="A363" s="152" t="str">
        <f>IF(B363&lt;&gt;"",IF(AND(B363='IN-TC'!$S$4,OR(TH!N363="1111",TH!O363="1111")),TH!D363,""),"")</f>
        <v/>
      </c>
      <c r="B363" s="34">
        <f t="shared" si="13"/>
        <v>3</v>
      </c>
      <c r="C363" s="35">
        <f t="shared" si="14"/>
        <v>42440</v>
      </c>
      <c r="D363" s="212"/>
      <c r="E363" s="35">
        <v>42440</v>
      </c>
      <c r="F363" s="144" t="s">
        <v>1466</v>
      </c>
      <c r="G363" s="191" t="s">
        <v>204</v>
      </c>
      <c r="H363" s="198" t="s">
        <v>832</v>
      </c>
      <c r="I363" s="186">
        <v>939</v>
      </c>
      <c r="J363" s="186">
        <v>22000</v>
      </c>
      <c r="K363" s="185"/>
      <c r="L363" s="186"/>
      <c r="M363" s="36">
        <f>ROUND(I363*J363,0)</f>
        <v>20658000</v>
      </c>
      <c r="N363" s="37" t="s">
        <v>1443</v>
      </c>
      <c r="O363" s="37" t="s">
        <v>8</v>
      </c>
      <c r="P363" s="47" t="str">
        <f>IF(AND('331-CT'!$F$5=TH!H363,OR(N363="331",O363="331")),"x","")</f>
        <v/>
      </c>
      <c r="Q363" s="47" t="str">
        <f>IF(AND(B363='111'!$L$11,OR($N363=$Q$7,$O363=$Q$7)),"x","")</f>
        <v/>
      </c>
      <c r="R363" s="47" t="str">
        <f>IF(AND($N363=$Q$7,$B363&lt;'111'!$L$11),"x","")</f>
        <v/>
      </c>
      <c r="S363" s="47" t="str">
        <f>IF(AND($O363=$Q$7,$B363&lt;'111'!$L$11),"x","")</f>
        <v/>
      </c>
    </row>
    <row r="364" spans="1:19" ht="15.75" customHeight="1">
      <c r="A364" s="152" t="str">
        <f>IF(B364&lt;&gt;"",IF(AND(B364='IN-TC'!$S$4,OR(TH!N364="1111",TH!O364="1111")),TH!D364,""),"")</f>
        <v/>
      </c>
      <c r="B364" s="34">
        <f t="shared" si="13"/>
        <v>3</v>
      </c>
      <c r="C364" s="35">
        <f t="shared" si="14"/>
        <v>42441</v>
      </c>
      <c r="D364" s="212" t="s">
        <v>896</v>
      </c>
      <c r="E364" s="35">
        <v>42441</v>
      </c>
      <c r="F364" s="144" t="s">
        <v>464</v>
      </c>
      <c r="G364" s="191" t="s">
        <v>110</v>
      </c>
      <c r="H364" s="198"/>
      <c r="I364" s="186"/>
      <c r="J364" s="186"/>
      <c r="K364" s="185"/>
      <c r="L364" s="186"/>
      <c r="M364" s="36">
        <v>3500000</v>
      </c>
      <c r="N364" s="37"/>
      <c r="O364" s="37" t="s">
        <v>34</v>
      </c>
      <c r="P364" s="47" t="str">
        <f>IF(AND('331-CT'!$F$5=TH!H364,OR(N364="331",O364="331")),"x","")</f>
        <v/>
      </c>
      <c r="Q364" s="47" t="str">
        <f>IF(AND(B364='111'!$L$11,OR($N364=$Q$7,$O364=$Q$7)),"x","")</f>
        <v/>
      </c>
      <c r="R364" s="47" t="str">
        <f>IF(AND($N364=$Q$7,$B364&lt;'111'!$L$11),"x","")</f>
        <v/>
      </c>
      <c r="S364" s="47" t="str">
        <f>IF(AND($O364=$Q$7,$B364&lt;'111'!$L$11),"x","")</f>
        <v>x</v>
      </c>
    </row>
    <row r="365" spans="1:19" ht="15.75" customHeight="1">
      <c r="A365" s="152" t="str">
        <f>IF(B365&lt;&gt;"",IF(AND(B365='IN-TC'!$S$4,OR(TH!N365="1111",TH!O365="1111")),TH!D365,""),"")</f>
        <v/>
      </c>
      <c r="B365" s="34">
        <f t="shared" si="13"/>
        <v>3</v>
      </c>
      <c r="C365" s="35">
        <f t="shared" si="14"/>
        <v>42441</v>
      </c>
      <c r="D365" s="212" t="s">
        <v>897</v>
      </c>
      <c r="E365" s="35">
        <v>42441</v>
      </c>
      <c r="F365" s="144" t="s">
        <v>465</v>
      </c>
      <c r="G365" s="191" t="s">
        <v>111</v>
      </c>
      <c r="H365" s="198"/>
      <c r="I365" s="186"/>
      <c r="J365" s="186"/>
      <c r="K365" s="185"/>
      <c r="L365" s="186"/>
      <c r="M365" s="36">
        <v>490000</v>
      </c>
      <c r="N365" s="37"/>
      <c r="O365" s="37" t="s">
        <v>34</v>
      </c>
      <c r="P365" s="47" t="str">
        <f>IF(AND('331-CT'!$F$5=TH!H365,OR(N365="331",O365="331")),"x","")</f>
        <v/>
      </c>
      <c r="Q365" s="47" t="str">
        <f>IF(AND(B365='111'!$L$11,OR($N365=$Q$7,$O365=$Q$7)),"x","")</f>
        <v/>
      </c>
      <c r="R365" s="47" t="str">
        <f>IF(AND($N365=$Q$7,$B365&lt;'111'!$L$11),"x","")</f>
        <v/>
      </c>
      <c r="S365" s="47" t="str">
        <f>IF(AND($O365=$Q$7,$B365&lt;'111'!$L$11),"x","")</f>
        <v>x</v>
      </c>
    </row>
    <row r="366" spans="1:19" ht="15.75" customHeight="1">
      <c r="A366" s="152" t="str">
        <f>IF(B366&lt;&gt;"",IF(AND(B366='IN-TC'!$S$4,OR(TH!N366="1111",TH!O366="1111")),TH!D366,""),"")</f>
        <v/>
      </c>
      <c r="B366" s="34">
        <f t="shared" si="13"/>
        <v>3</v>
      </c>
      <c r="C366" s="35">
        <f t="shared" si="14"/>
        <v>42441</v>
      </c>
      <c r="D366" s="212"/>
      <c r="E366" s="35">
        <v>42441</v>
      </c>
      <c r="F366" s="144" t="s">
        <v>1466</v>
      </c>
      <c r="G366" s="191" t="s">
        <v>204</v>
      </c>
      <c r="H366" s="198" t="s">
        <v>832</v>
      </c>
      <c r="I366" s="186">
        <v>1238</v>
      </c>
      <c r="J366" s="186">
        <v>19000</v>
      </c>
      <c r="K366" s="185"/>
      <c r="L366" s="186"/>
      <c r="M366" s="36">
        <f>ROUND(I366*J366,0)</f>
        <v>23522000</v>
      </c>
      <c r="N366" s="37" t="s">
        <v>1443</v>
      </c>
      <c r="O366" s="37" t="s">
        <v>8</v>
      </c>
      <c r="P366" s="47" t="str">
        <f>IF(AND('331-CT'!$F$5=TH!H366,OR(N366="331",O366="331")),"x","")</f>
        <v/>
      </c>
      <c r="Q366" s="47" t="str">
        <f>IF(AND(B366='111'!$L$11,OR($N366=$Q$7,$O366=$Q$7)),"x","")</f>
        <v/>
      </c>
      <c r="R366" s="47" t="str">
        <f>IF(AND($N366=$Q$7,$B366&lt;'111'!$L$11),"x","")</f>
        <v/>
      </c>
      <c r="S366" s="47" t="str">
        <f>IF(AND($O366=$Q$7,$B366&lt;'111'!$L$11),"x","")</f>
        <v/>
      </c>
    </row>
    <row r="367" spans="1:19" ht="15.75" customHeight="1">
      <c r="A367" s="152" t="str">
        <f>IF(B367&lt;&gt;"",IF(AND(B367='IN-TC'!$S$4,OR(TH!N367="1111",TH!O367="1111")),TH!D367,""),"")</f>
        <v/>
      </c>
      <c r="B367" s="34">
        <f t="shared" si="13"/>
        <v>3</v>
      </c>
      <c r="C367" s="35">
        <f t="shared" si="14"/>
        <v>42442</v>
      </c>
      <c r="D367" s="212"/>
      <c r="E367" s="35">
        <v>42442</v>
      </c>
      <c r="F367" s="144" t="s">
        <v>1531</v>
      </c>
      <c r="G367" s="191"/>
      <c r="H367" s="198" t="s">
        <v>829</v>
      </c>
      <c r="I367" s="186">
        <v>2595</v>
      </c>
      <c r="J367" s="186">
        <v>170000</v>
      </c>
      <c r="K367" s="185"/>
      <c r="L367" s="186"/>
      <c r="M367" s="36">
        <f>ROUND(I367*J367,-3)</f>
        <v>441150000</v>
      </c>
      <c r="N367" s="37" t="s">
        <v>1443</v>
      </c>
      <c r="O367" s="37" t="s">
        <v>8</v>
      </c>
      <c r="P367" s="47" t="str">
        <f>IF(AND('331-CT'!$F$5=TH!H367,OR(N367="331",O367="331")),"x","")</f>
        <v/>
      </c>
      <c r="Q367" s="47" t="str">
        <f>IF(AND(B367='111'!$L$11,OR($N367=$Q$7,$O367=$Q$7)),"x","")</f>
        <v/>
      </c>
      <c r="R367" s="47" t="str">
        <f>IF(AND($N367=$Q$7,$B367&lt;'111'!$L$11),"x","")</f>
        <v/>
      </c>
      <c r="S367" s="47" t="str">
        <f>IF(AND($O367=$Q$7,$B367&lt;'111'!$L$11),"x","")</f>
        <v/>
      </c>
    </row>
    <row r="368" spans="1:19" ht="15.75" customHeight="1">
      <c r="A368" s="152" t="str">
        <f>IF(B368&lt;&gt;"",IF(AND(B368='IN-TC'!$S$4,OR(TH!N368="1111",TH!O368="1111")),TH!D368,""),"")</f>
        <v/>
      </c>
      <c r="B368" s="34">
        <f t="shared" si="13"/>
        <v>3</v>
      </c>
      <c r="C368" s="35">
        <f t="shared" si="14"/>
        <v>42443</v>
      </c>
      <c r="D368" s="212" t="s">
        <v>1013</v>
      </c>
      <c r="E368" s="35">
        <v>42443</v>
      </c>
      <c r="F368" s="144" t="s">
        <v>154</v>
      </c>
      <c r="G368" s="191" t="s">
        <v>110</v>
      </c>
      <c r="H368" s="198"/>
      <c r="I368" s="186"/>
      <c r="J368" s="186"/>
      <c r="K368" s="185"/>
      <c r="L368" s="186"/>
      <c r="M368" s="36">
        <v>3500000</v>
      </c>
      <c r="N368" s="37" t="s">
        <v>34</v>
      </c>
      <c r="O368" s="37"/>
      <c r="P368" s="47" t="str">
        <f>IF(AND('331-CT'!$F$5=TH!H368,OR(N368="331",O368="331")),"x","")</f>
        <v/>
      </c>
      <c r="Q368" s="47" t="str">
        <f>IF(AND(B368='111'!$L$11,OR($N368=$Q$7,$O368=$Q$7)),"x","")</f>
        <v/>
      </c>
      <c r="R368" s="47" t="str">
        <f>IF(AND($N368=$Q$7,$B368&lt;'111'!$L$11),"x","")</f>
        <v>x</v>
      </c>
      <c r="S368" s="47" t="str">
        <f>IF(AND($O368=$Q$7,$B368&lt;'111'!$L$11),"x","")</f>
        <v/>
      </c>
    </row>
    <row r="369" spans="1:19" ht="15.75" customHeight="1">
      <c r="A369" s="152" t="str">
        <f>IF(B369&lt;&gt;"",IF(AND(B369='IN-TC'!$S$4,OR(TH!N369="1111",TH!O369="1111")),TH!D369,""),"")</f>
        <v/>
      </c>
      <c r="B369" s="34">
        <f t="shared" si="13"/>
        <v>3</v>
      </c>
      <c r="C369" s="35">
        <f t="shared" si="14"/>
        <v>42443</v>
      </c>
      <c r="D369" s="212" t="s">
        <v>1014</v>
      </c>
      <c r="E369" s="35">
        <v>42443</v>
      </c>
      <c r="F369" s="144" t="s">
        <v>134</v>
      </c>
      <c r="G369" s="191" t="s">
        <v>105</v>
      </c>
      <c r="H369" s="198" t="s">
        <v>1413</v>
      </c>
      <c r="I369" s="186"/>
      <c r="J369" s="186"/>
      <c r="K369" s="185"/>
      <c r="L369" s="186"/>
      <c r="M369" s="36">
        <v>450000000</v>
      </c>
      <c r="N369" s="37" t="s">
        <v>34</v>
      </c>
      <c r="O369" s="37" t="s">
        <v>812</v>
      </c>
      <c r="P369" s="47" t="str">
        <f>IF(AND('331-CT'!$F$5=TH!H369,OR(N369="331",O369="331")),"x","")</f>
        <v/>
      </c>
      <c r="Q369" s="47" t="str">
        <f>IF(AND(B369='111'!$L$11,OR($N369=$Q$7,$O369=$Q$7)),"x","")</f>
        <v/>
      </c>
      <c r="R369" s="47" t="str">
        <f>IF(AND($N369=$Q$7,$B369&lt;'111'!$L$11),"x","")</f>
        <v>x</v>
      </c>
      <c r="S369" s="47" t="str">
        <f>IF(AND($O369=$Q$7,$B369&lt;'111'!$L$11),"x","")</f>
        <v/>
      </c>
    </row>
    <row r="370" spans="1:19" ht="15.75" customHeight="1">
      <c r="A370" s="152" t="str">
        <f>IF(B370&lt;&gt;"",IF(AND(B370='IN-TC'!$S$4,OR(TH!N370="1111",TH!O370="1111")),TH!D370,""),"")</f>
        <v/>
      </c>
      <c r="B370" s="34">
        <f t="shared" si="13"/>
        <v>3</v>
      </c>
      <c r="C370" s="35">
        <f t="shared" si="14"/>
        <v>42443</v>
      </c>
      <c r="D370" s="212" t="s">
        <v>898</v>
      </c>
      <c r="E370" s="35">
        <v>42443</v>
      </c>
      <c r="F370" s="144" t="s">
        <v>466</v>
      </c>
      <c r="G370" s="191" t="s">
        <v>208</v>
      </c>
      <c r="H370" s="198"/>
      <c r="I370" s="186"/>
      <c r="J370" s="186"/>
      <c r="K370" s="185"/>
      <c r="L370" s="186"/>
      <c r="M370" s="36">
        <v>3754000</v>
      </c>
      <c r="N370" s="37"/>
      <c r="O370" s="37" t="s">
        <v>34</v>
      </c>
      <c r="P370" s="47" t="str">
        <f>IF(AND('331-CT'!$F$5=TH!H370,OR(N370="331",O370="331")),"x","")</f>
        <v/>
      </c>
      <c r="Q370" s="47" t="str">
        <f>IF(AND(B370='111'!$L$11,OR($N370=$Q$7,$O370=$Q$7)),"x","")</f>
        <v/>
      </c>
      <c r="R370" s="47" t="str">
        <f>IF(AND($N370=$Q$7,$B370&lt;'111'!$L$11),"x","")</f>
        <v/>
      </c>
      <c r="S370" s="47" t="str">
        <f>IF(AND($O370=$Q$7,$B370&lt;'111'!$L$11),"x","")</f>
        <v>x</v>
      </c>
    </row>
    <row r="371" spans="1:19" ht="15.75" customHeight="1">
      <c r="A371" s="152" t="str">
        <f>IF(B371&lt;&gt;"",IF(AND(B371='IN-TC'!$S$4,OR(TH!N371="1111",TH!O371="1111")),TH!D371,""),"")</f>
        <v/>
      </c>
      <c r="B371" s="34">
        <f t="shared" si="13"/>
        <v>3</v>
      </c>
      <c r="C371" s="35">
        <f t="shared" si="14"/>
        <v>42443</v>
      </c>
      <c r="D371" s="212" t="s">
        <v>899</v>
      </c>
      <c r="E371" s="35">
        <v>42443</v>
      </c>
      <c r="F371" s="144" t="s">
        <v>467</v>
      </c>
      <c r="G371" s="191" t="s">
        <v>202</v>
      </c>
      <c r="H371" s="198"/>
      <c r="I371" s="186"/>
      <c r="J371" s="186"/>
      <c r="K371" s="185"/>
      <c r="L371" s="186"/>
      <c r="M371" s="36">
        <v>14511000</v>
      </c>
      <c r="N371" s="37"/>
      <c r="O371" s="37" t="s">
        <v>34</v>
      </c>
      <c r="P371" s="47" t="str">
        <f>IF(AND('331-CT'!$F$5=TH!H371,OR(N371="331",O371="331")),"x","")</f>
        <v/>
      </c>
      <c r="Q371" s="47" t="str">
        <f>IF(AND(B371='111'!$L$11,OR($N371=$Q$7,$O371=$Q$7)),"x","")</f>
        <v/>
      </c>
      <c r="R371" s="47" t="str">
        <f>IF(AND($N371=$Q$7,$B371&lt;'111'!$L$11),"x","")</f>
        <v/>
      </c>
      <c r="S371" s="47" t="str">
        <f>IF(AND($O371=$Q$7,$B371&lt;'111'!$L$11),"x","")</f>
        <v>x</v>
      </c>
    </row>
    <row r="372" spans="1:19" ht="15.75" customHeight="1">
      <c r="A372" s="152" t="str">
        <f>IF(B372&lt;&gt;"",IF(AND(B372='IN-TC'!$S$4,OR(TH!N372="1111",TH!O372="1111")),TH!D372,""),"")</f>
        <v/>
      </c>
      <c r="B372" s="34">
        <f t="shared" si="13"/>
        <v>3</v>
      </c>
      <c r="C372" s="35">
        <f t="shared" si="14"/>
        <v>42443</v>
      </c>
      <c r="D372" s="212" t="s">
        <v>900</v>
      </c>
      <c r="E372" s="35">
        <v>42443</v>
      </c>
      <c r="F372" s="144" t="s">
        <v>468</v>
      </c>
      <c r="G372" s="191" t="s">
        <v>215</v>
      </c>
      <c r="H372" s="198"/>
      <c r="I372" s="186"/>
      <c r="J372" s="186"/>
      <c r="K372" s="185"/>
      <c r="L372" s="186"/>
      <c r="M372" s="36">
        <v>7000000</v>
      </c>
      <c r="N372" s="37"/>
      <c r="O372" s="37" t="s">
        <v>34</v>
      </c>
      <c r="P372" s="47" t="str">
        <f>IF(AND('331-CT'!$F$5=TH!H372,OR(N372="331",O372="331")),"x","")</f>
        <v/>
      </c>
      <c r="Q372" s="47" t="str">
        <f>IF(AND(B372='111'!$L$11,OR($N372=$Q$7,$O372=$Q$7)),"x","")</f>
        <v/>
      </c>
      <c r="R372" s="47" t="str">
        <f>IF(AND($N372=$Q$7,$B372&lt;'111'!$L$11),"x","")</f>
        <v/>
      </c>
      <c r="S372" s="47" t="str">
        <f>IF(AND($O372=$Q$7,$B372&lt;'111'!$L$11),"x","")</f>
        <v>x</v>
      </c>
    </row>
    <row r="373" spans="1:19" ht="15.75" customHeight="1">
      <c r="A373" s="152" t="str">
        <f>IF(B373&lt;&gt;"",IF(AND(B373='IN-TC'!$S$4,OR(TH!N373="1111",TH!O373="1111")),TH!D373,""),"")</f>
        <v/>
      </c>
      <c r="B373" s="34">
        <f t="shared" si="13"/>
        <v>3</v>
      </c>
      <c r="C373" s="35">
        <f t="shared" si="14"/>
        <v>42443</v>
      </c>
      <c r="D373" s="212" t="s">
        <v>901</v>
      </c>
      <c r="E373" s="35">
        <v>42443</v>
      </c>
      <c r="F373" s="144" t="s">
        <v>243</v>
      </c>
      <c r="G373" s="191" t="s">
        <v>206</v>
      </c>
      <c r="H373" s="198" t="s">
        <v>824</v>
      </c>
      <c r="I373" s="186"/>
      <c r="J373" s="186"/>
      <c r="K373" s="185"/>
      <c r="L373" s="186"/>
      <c r="M373" s="36">
        <v>300000000</v>
      </c>
      <c r="N373" s="37" t="s">
        <v>8</v>
      </c>
      <c r="O373" s="37" t="s">
        <v>34</v>
      </c>
      <c r="P373" s="47" t="str">
        <f>IF(AND('331-CT'!$F$5=TH!H373,OR(N373="331",O373="331")),"x","")</f>
        <v/>
      </c>
      <c r="Q373" s="47" t="str">
        <f>IF(AND(B373='111'!$L$11,OR($N373=$Q$7,$O373=$Q$7)),"x","")</f>
        <v/>
      </c>
      <c r="R373" s="47" t="str">
        <f>IF(AND($N373=$Q$7,$B373&lt;'111'!$L$11),"x","")</f>
        <v/>
      </c>
      <c r="S373" s="47" t="str">
        <f>IF(AND($O373=$Q$7,$B373&lt;'111'!$L$11),"x","")</f>
        <v>x</v>
      </c>
    </row>
    <row r="374" spans="1:19" ht="15.75" customHeight="1">
      <c r="A374" s="152" t="str">
        <f>IF(B374&lt;&gt;"",IF(AND(B374='IN-TC'!$S$4,OR(TH!N374="1111",TH!O374="1111")),TH!D374,""),"")</f>
        <v/>
      </c>
      <c r="B374" s="34">
        <f t="shared" si="13"/>
        <v>3</v>
      </c>
      <c r="C374" s="35">
        <f t="shared" si="14"/>
        <v>42443</v>
      </c>
      <c r="D374" s="212" t="s">
        <v>902</v>
      </c>
      <c r="E374" s="35">
        <v>42443</v>
      </c>
      <c r="F374" s="144" t="s">
        <v>333</v>
      </c>
      <c r="G374" s="191" t="s">
        <v>206</v>
      </c>
      <c r="H374" s="198" t="s">
        <v>821</v>
      </c>
      <c r="I374" s="186"/>
      <c r="J374" s="186"/>
      <c r="K374" s="185"/>
      <c r="L374" s="186"/>
      <c r="M374" s="36">
        <v>150000000</v>
      </c>
      <c r="N374" s="37" t="s">
        <v>8</v>
      </c>
      <c r="O374" s="37" t="s">
        <v>34</v>
      </c>
      <c r="P374" s="47" t="str">
        <f>IF(AND('331-CT'!$F$5=TH!H374,OR(N374="331",O374="331")),"x","")</f>
        <v/>
      </c>
      <c r="Q374" s="47" t="str">
        <f>IF(AND(B374='111'!$L$11,OR($N374=$Q$7,$O374=$Q$7)),"x","")</f>
        <v/>
      </c>
      <c r="R374" s="47" t="str">
        <f>IF(AND($N374=$Q$7,$B374&lt;'111'!$L$11),"x","")</f>
        <v/>
      </c>
      <c r="S374" s="47" t="str">
        <f>IF(AND($O374=$Q$7,$B374&lt;'111'!$L$11),"x","")</f>
        <v>x</v>
      </c>
    </row>
    <row r="375" spans="1:19" ht="15.75" customHeight="1">
      <c r="A375" s="152" t="str">
        <f>IF(B375&lt;&gt;"",IF(AND(B375='IN-TC'!$S$4,OR(TH!N375="1111",TH!O375="1111")),TH!D375,""),"")</f>
        <v/>
      </c>
      <c r="B375" s="34">
        <f t="shared" si="13"/>
        <v>3</v>
      </c>
      <c r="C375" s="35">
        <f t="shared" si="14"/>
        <v>42443</v>
      </c>
      <c r="D375" s="212"/>
      <c r="E375" s="35">
        <v>42443</v>
      </c>
      <c r="F375" s="144" t="s">
        <v>1466</v>
      </c>
      <c r="G375" s="191" t="s">
        <v>204</v>
      </c>
      <c r="H375" s="198" t="s">
        <v>832</v>
      </c>
      <c r="I375" s="186">
        <v>986</v>
      </c>
      <c r="J375" s="186">
        <v>17000</v>
      </c>
      <c r="K375" s="185"/>
      <c r="L375" s="186"/>
      <c r="M375" s="36">
        <f>ROUND(I375*J375,0)</f>
        <v>16762000</v>
      </c>
      <c r="N375" s="37" t="s">
        <v>1443</v>
      </c>
      <c r="O375" s="37" t="s">
        <v>8</v>
      </c>
      <c r="P375" s="47" t="str">
        <f>IF(AND('331-CT'!$F$5=TH!H375,OR(N375="331",O375="331")),"x","")</f>
        <v/>
      </c>
      <c r="Q375" s="47" t="str">
        <f>IF(AND(B375='111'!$L$11,OR($N375=$Q$7,$O375=$Q$7)),"x","")</f>
        <v/>
      </c>
      <c r="R375" s="47" t="str">
        <f>IF(AND($N375=$Q$7,$B375&lt;'111'!$L$11),"x","")</f>
        <v/>
      </c>
      <c r="S375" s="47" t="str">
        <f>IF(AND($O375=$Q$7,$B375&lt;'111'!$L$11),"x","")</f>
        <v/>
      </c>
    </row>
    <row r="376" spans="1:19" ht="15.75" customHeight="1">
      <c r="A376" s="152" t="str">
        <f>IF(B376&lt;&gt;"",IF(AND(B376='IN-TC'!$S$4,OR(TH!N376="1111",TH!O376="1111")),TH!D376,""),"")</f>
        <v/>
      </c>
      <c r="B376" s="34">
        <f t="shared" si="13"/>
        <v>3</v>
      </c>
      <c r="C376" s="35">
        <f t="shared" si="14"/>
        <v>42444</v>
      </c>
      <c r="D376" s="212" t="s">
        <v>1015</v>
      </c>
      <c r="E376" s="35">
        <v>42444</v>
      </c>
      <c r="F376" s="144" t="s">
        <v>134</v>
      </c>
      <c r="G376" s="191" t="s">
        <v>105</v>
      </c>
      <c r="H376" s="198" t="s">
        <v>1413</v>
      </c>
      <c r="I376" s="186"/>
      <c r="J376" s="186"/>
      <c r="K376" s="185"/>
      <c r="L376" s="186"/>
      <c r="M376" s="36">
        <v>550000000</v>
      </c>
      <c r="N376" s="37" t="s">
        <v>34</v>
      </c>
      <c r="O376" s="37" t="s">
        <v>812</v>
      </c>
      <c r="P376" s="47" t="str">
        <f>IF(AND('331-CT'!$F$5=TH!H376,OR(N376="331",O376="331")),"x","")</f>
        <v/>
      </c>
      <c r="Q376" s="47" t="str">
        <f>IF(AND(B376='111'!$L$11,OR($N376=$Q$7,$O376=$Q$7)),"x","")</f>
        <v/>
      </c>
      <c r="R376" s="47" t="str">
        <f>IF(AND($N376=$Q$7,$B376&lt;'111'!$L$11),"x","")</f>
        <v>x</v>
      </c>
      <c r="S376" s="47" t="str">
        <f>IF(AND($O376=$Q$7,$B376&lt;'111'!$L$11),"x","")</f>
        <v/>
      </c>
    </row>
    <row r="377" spans="1:19" ht="15.75" customHeight="1">
      <c r="A377" s="152" t="str">
        <f>IF(B377&lt;&gt;"",IF(AND(B377='IN-TC'!$S$4,OR(TH!N377="1111",TH!O377="1111")),TH!D377,""),"")</f>
        <v/>
      </c>
      <c r="B377" s="34">
        <f t="shared" si="13"/>
        <v>3</v>
      </c>
      <c r="C377" s="35">
        <f t="shared" si="14"/>
        <v>42444</v>
      </c>
      <c r="D377" s="212" t="s">
        <v>1029</v>
      </c>
      <c r="E377" s="35">
        <v>42444</v>
      </c>
      <c r="F377" s="144" t="s">
        <v>155</v>
      </c>
      <c r="G377" s="191" t="s">
        <v>104</v>
      </c>
      <c r="H377" s="198"/>
      <c r="I377" s="186"/>
      <c r="J377" s="186"/>
      <c r="K377" s="185"/>
      <c r="L377" s="186"/>
      <c r="M377" s="36">
        <v>1900000000</v>
      </c>
      <c r="N377" s="37" t="s">
        <v>34</v>
      </c>
      <c r="O377" s="37"/>
      <c r="P377" s="47" t="str">
        <f>IF(AND('331-CT'!$F$5=TH!H377,OR(N377="331",O377="331")),"x","")</f>
        <v/>
      </c>
      <c r="Q377" s="47" t="str">
        <f>IF(AND(B377='111'!$L$11,OR($N377=$Q$7,$O377=$Q$7)),"x","")</f>
        <v/>
      </c>
      <c r="R377" s="47" t="str">
        <f>IF(AND($N377=$Q$7,$B377&lt;'111'!$L$11),"x","")</f>
        <v>x</v>
      </c>
      <c r="S377" s="47" t="str">
        <f>IF(AND($O377=$Q$7,$B377&lt;'111'!$L$11),"x","")</f>
        <v/>
      </c>
    </row>
    <row r="378" spans="1:19" ht="15.75" customHeight="1">
      <c r="A378" s="152" t="str">
        <f>IF(B378&lt;&gt;"",IF(AND(B378='IN-TC'!$S$4,OR(TH!N378="1111",TH!O378="1111")),TH!D378,""),"")</f>
        <v/>
      </c>
      <c r="B378" s="34">
        <f t="shared" si="13"/>
        <v>3</v>
      </c>
      <c r="C378" s="35">
        <f t="shared" si="14"/>
        <v>42444</v>
      </c>
      <c r="D378" s="212" t="s">
        <v>903</v>
      </c>
      <c r="E378" s="35">
        <v>42444</v>
      </c>
      <c r="F378" s="144" t="s">
        <v>469</v>
      </c>
      <c r="G378" s="191" t="s">
        <v>111</v>
      </c>
      <c r="H378" s="198"/>
      <c r="I378" s="186"/>
      <c r="J378" s="186"/>
      <c r="K378" s="185"/>
      <c r="L378" s="186"/>
      <c r="M378" s="36">
        <v>10500000</v>
      </c>
      <c r="N378" s="37"/>
      <c r="O378" s="37" t="s">
        <v>34</v>
      </c>
      <c r="P378" s="47" t="str">
        <f>IF(AND('331-CT'!$F$5=TH!H378,OR(N378="331",O378="331")),"x","")</f>
        <v/>
      </c>
      <c r="Q378" s="47" t="str">
        <f>IF(AND(B378='111'!$L$11,OR($N378=$Q$7,$O378=$Q$7)),"x","")</f>
        <v/>
      </c>
      <c r="R378" s="47" t="str">
        <f>IF(AND($N378=$Q$7,$B378&lt;'111'!$L$11),"x","")</f>
        <v/>
      </c>
      <c r="S378" s="47" t="str">
        <f>IF(AND($O378=$Q$7,$B378&lt;'111'!$L$11),"x","")</f>
        <v>x</v>
      </c>
    </row>
    <row r="379" spans="1:19" ht="15.75" customHeight="1">
      <c r="A379" s="152" t="str">
        <f>IF(B379&lt;&gt;"",IF(AND(B379='IN-TC'!$S$4,OR(TH!N379="1111",TH!O379="1111")),TH!D379,""),"")</f>
        <v/>
      </c>
      <c r="B379" s="34">
        <f t="shared" si="13"/>
        <v>3</v>
      </c>
      <c r="C379" s="35">
        <f t="shared" si="14"/>
        <v>42444</v>
      </c>
      <c r="D379" s="212" t="s">
        <v>904</v>
      </c>
      <c r="E379" s="35">
        <v>42444</v>
      </c>
      <c r="F379" s="144" t="s">
        <v>470</v>
      </c>
      <c r="G379" s="191" t="s">
        <v>208</v>
      </c>
      <c r="H379" s="198"/>
      <c r="I379" s="186"/>
      <c r="J379" s="186"/>
      <c r="K379" s="185"/>
      <c r="L379" s="186"/>
      <c r="M379" s="36">
        <v>900000</v>
      </c>
      <c r="N379" s="37"/>
      <c r="O379" s="37" t="s">
        <v>34</v>
      </c>
      <c r="P379" s="47" t="str">
        <f>IF(AND('331-CT'!$F$5=TH!H379,OR(N379="331",O379="331")),"x","")</f>
        <v/>
      </c>
      <c r="Q379" s="47" t="str">
        <f>IF(AND(B379='111'!$L$11,OR($N379=$Q$7,$O379=$Q$7)),"x","")</f>
        <v/>
      </c>
      <c r="R379" s="47" t="str">
        <f>IF(AND($N379=$Q$7,$B379&lt;'111'!$L$11),"x","")</f>
        <v/>
      </c>
      <c r="S379" s="47" t="str">
        <f>IF(AND($O379=$Q$7,$B379&lt;'111'!$L$11),"x","")</f>
        <v>x</v>
      </c>
    </row>
    <row r="380" spans="1:19" ht="15.75" customHeight="1">
      <c r="A380" s="152" t="str">
        <f>IF(B380&lt;&gt;"",IF(AND(B380='IN-TC'!$S$4,OR(TH!N380="1111",TH!O380="1111")),TH!D380,""),"")</f>
        <v/>
      </c>
      <c r="B380" s="34">
        <f t="shared" si="13"/>
        <v>3</v>
      </c>
      <c r="C380" s="35">
        <f t="shared" si="14"/>
        <v>42444</v>
      </c>
      <c r="D380" s="212" t="s">
        <v>905</v>
      </c>
      <c r="E380" s="35">
        <v>42444</v>
      </c>
      <c r="F380" s="144" t="s">
        <v>384</v>
      </c>
      <c r="G380" s="191" t="s">
        <v>204</v>
      </c>
      <c r="H380" s="198"/>
      <c r="I380" s="186"/>
      <c r="J380" s="186"/>
      <c r="K380" s="185"/>
      <c r="L380" s="186"/>
      <c r="M380" s="36">
        <v>400000000</v>
      </c>
      <c r="N380" s="37"/>
      <c r="O380" s="37" t="s">
        <v>34</v>
      </c>
      <c r="P380" s="47" t="str">
        <f>IF(AND('331-CT'!$F$5=TH!H380,OR(N380="331",O380="331")),"x","")</f>
        <v/>
      </c>
      <c r="Q380" s="47" t="str">
        <f>IF(AND(B380='111'!$L$11,OR($N380=$Q$7,$O380=$Q$7)),"x","")</f>
        <v/>
      </c>
      <c r="R380" s="47" t="str">
        <f>IF(AND($N380=$Q$7,$B380&lt;'111'!$L$11),"x","")</f>
        <v/>
      </c>
      <c r="S380" s="47" t="str">
        <f>IF(AND($O380=$Q$7,$B380&lt;'111'!$L$11),"x","")</f>
        <v>x</v>
      </c>
    </row>
    <row r="381" spans="1:19" ht="15.75" customHeight="1">
      <c r="A381" s="152" t="str">
        <f>IF(B381&lt;&gt;"",IF(AND(B381='IN-TC'!$S$4,OR(TH!N381="1111",TH!O381="1111")),TH!D381,""),"")</f>
        <v/>
      </c>
      <c r="B381" s="34">
        <f t="shared" si="13"/>
        <v>3</v>
      </c>
      <c r="C381" s="35">
        <f t="shared" si="14"/>
        <v>42444</v>
      </c>
      <c r="D381" s="212" t="s">
        <v>906</v>
      </c>
      <c r="E381" s="35">
        <v>42444</v>
      </c>
      <c r="F381" s="144" t="s">
        <v>471</v>
      </c>
      <c r="G381" s="191" t="s">
        <v>204</v>
      </c>
      <c r="H381" s="198"/>
      <c r="I381" s="186"/>
      <c r="J381" s="186"/>
      <c r="K381" s="185"/>
      <c r="L381" s="186"/>
      <c r="M381" s="36">
        <v>20000000</v>
      </c>
      <c r="N381" s="37"/>
      <c r="O381" s="37" t="s">
        <v>34</v>
      </c>
      <c r="P381" s="47" t="str">
        <f>IF(AND('331-CT'!$F$5=TH!H381,OR(N381="331",O381="331")),"x","")</f>
        <v/>
      </c>
      <c r="Q381" s="47" t="str">
        <f>IF(AND(B381='111'!$L$11,OR($N381=$Q$7,$O381=$Q$7)),"x","")</f>
        <v/>
      </c>
      <c r="R381" s="47" t="str">
        <f>IF(AND($N381=$Q$7,$B381&lt;'111'!$L$11),"x","")</f>
        <v/>
      </c>
      <c r="S381" s="47" t="str">
        <f>IF(AND($O381=$Q$7,$B381&lt;'111'!$L$11),"x","")</f>
        <v>x</v>
      </c>
    </row>
    <row r="382" spans="1:19" ht="15.75" customHeight="1">
      <c r="A382" s="152" t="str">
        <f>IF(B382&lt;&gt;"",IF(AND(B382='IN-TC'!$S$4,OR(TH!N382="1111",TH!O382="1111")),TH!D382,""),"")</f>
        <v/>
      </c>
      <c r="B382" s="34">
        <f t="shared" si="13"/>
        <v>3</v>
      </c>
      <c r="C382" s="35">
        <f t="shared" si="14"/>
        <v>42444</v>
      </c>
      <c r="D382" s="212" t="s">
        <v>907</v>
      </c>
      <c r="E382" s="35">
        <v>42444</v>
      </c>
      <c r="F382" s="144" t="s">
        <v>472</v>
      </c>
      <c r="G382" s="191" t="s">
        <v>222</v>
      </c>
      <c r="H382" s="198"/>
      <c r="I382" s="186"/>
      <c r="J382" s="186"/>
      <c r="K382" s="185"/>
      <c r="L382" s="186"/>
      <c r="M382" s="36">
        <v>40000000</v>
      </c>
      <c r="N382" s="37"/>
      <c r="O382" s="37" t="s">
        <v>34</v>
      </c>
      <c r="P382" s="47" t="str">
        <f>IF(AND('331-CT'!$F$5=TH!H382,OR(N382="331",O382="331")),"x","")</f>
        <v/>
      </c>
      <c r="Q382" s="47" t="str">
        <f>IF(AND(B382='111'!$L$11,OR($N382=$Q$7,$O382=$Q$7)),"x","")</f>
        <v/>
      </c>
      <c r="R382" s="47" t="str">
        <f>IF(AND($N382=$Q$7,$B382&lt;'111'!$L$11),"x","")</f>
        <v/>
      </c>
      <c r="S382" s="47" t="str">
        <f>IF(AND($O382=$Q$7,$B382&lt;'111'!$L$11),"x","")</f>
        <v>x</v>
      </c>
    </row>
    <row r="383" spans="1:19" ht="15.75" customHeight="1">
      <c r="A383" s="152" t="str">
        <f>IF(B383&lt;&gt;"",IF(AND(B383='IN-TC'!$S$4,OR(TH!N383="1111",TH!O383="1111")),TH!D383,""),"")</f>
        <v/>
      </c>
      <c r="B383" s="34">
        <f t="shared" si="13"/>
        <v>3</v>
      </c>
      <c r="C383" s="35">
        <f t="shared" si="14"/>
        <v>42444</v>
      </c>
      <c r="D383" s="212" t="s">
        <v>908</v>
      </c>
      <c r="E383" s="35">
        <v>42444</v>
      </c>
      <c r="F383" s="144" t="s">
        <v>348</v>
      </c>
      <c r="G383" s="191" t="s">
        <v>206</v>
      </c>
      <c r="H383" s="198" t="s">
        <v>834</v>
      </c>
      <c r="I383" s="186"/>
      <c r="J383" s="186"/>
      <c r="K383" s="185"/>
      <c r="L383" s="186"/>
      <c r="M383" s="36">
        <v>130801000</v>
      </c>
      <c r="N383" s="37" t="s">
        <v>8</v>
      </c>
      <c r="O383" s="37" t="s">
        <v>34</v>
      </c>
      <c r="P383" s="47" t="str">
        <f>IF(AND('331-CT'!$F$5=TH!H383,OR(N383="331",O383="331")),"x","")</f>
        <v/>
      </c>
      <c r="Q383" s="47" t="str">
        <f>IF(AND(B383='111'!$L$11,OR($N383=$Q$7,$O383=$Q$7)),"x","")</f>
        <v/>
      </c>
      <c r="R383" s="47" t="str">
        <f>IF(AND($N383=$Q$7,$B383&lt;'111'!$L$11),"x","")</f>
        <v/>
      </c>
      <c r="S383" s="47" t="str">
        <f>IF(AND($O383=$Q$7,$B383&lt;'111'!$L$11),"x","")</f>
        <v>x</v>
      </c>
    </row>
    <row r="384" spans="1:19" ht="15.75" customHeight="1">
      <c r="A384" s="152" t="str">
        <f>IF(B384&lt;&gt;"",IF(AND(B384='IN-TC'!$S$4,OR(TH!N384="1111",TH!O384="1111")),TH!D384,""),"")</f>
        <v/>
      </c>
      <c r="B384" s="34">
        <f t="shared" si="13"/>
        <v>3</v>
      </c>
      <c r="C384" s="35">
        <f t="shared" si="14"/>
        <v>42444</v>
      </c>
      <c r="D384" s="212" t="s">
        <v>908</v>
      </c>
      <c r="E384" s="35">
        <v>42444</v>
      </c>
      <c r="F384" s="144" t="s">
        <v>1424</v>
      </c>
      <c r="G384" s="191"/>
      <c r="H384" s="198"/>
      <c r="I384" s="186"/>
      <c r="J384" s="186"/>
      <c r="K384" s="185"/>
      <c r="L384" s="186"/>
      <c r="M384" s="36">
        <v>88000</v>
      </c>
      <c r="N384" s="37" t="s">
        <v>1425</v>
      </c>
      <c r="O384" s="37" t="s">
        <v>34</v>
      </c>
      <c r="P384" s="47" t="str">
        <f>IF(AND('331-CT'!$F$5=TH!H384,OR(N384="331",O384="331")),"x","")</f>
        <v/>
      </c>
      <c r="Q384" s="47" t="str">
        <f>IF(AND(B384='111'!$L$11,OR($N384=$Q$7,$O384=$Q$7)),"x","")</f>
        <v/>
      </c>
      <c r="R384" s="47" t="str">
        <f>IF(AND($N384=$Q$7,$B384&lt;'111'!$L$11),"x","")</f>
        <v/>
      </c>
      <c r="S384" s="47" t="str">
        <f>IF(AND($O384=$Q$7,$B384&lt;'111'!$L$11),"x","")</f>
        <v>x</v>
      </c>
    </row>
    <row r="385" spans="1:19" ht="15.75" customHeight="1">
      <c r="A385" s="152" t="str">
        <f>IF(B385&lt;&gt;"",IF(AND(B385='IN-TC'!$S$4,OR(TH!N385="1111",TH!O385="1111")),TH!D385,""),"")</f>
        <v/>
      </c>
      <c r="B385" s="34">
        <f t="shared" si="13"/>
        <v>3</v>
      </c>
      <c r="C385" s="35">
        <f t="shared" si="14"/>
        <v>42444</v>
      </c>
      <c r="D385" s="212" t="s">
        <v>909</v>
      </c>
      <c r="E385" s="35">
        <v>42444</v>
      </c>
      <c r="F385" s="144" t="s">
        <v>473</v>
      </c>
      <c r="G385" s="191" t="s">
        <v>202</v>
      </c>
      <c r="H385" s="198"/>
      <c r="I385" s="186"/>
      <c r="J385" s="186"/>
      <c r="K385" s="185"/>
      <c r="L385" s="186"/>
      <c r="M385" s="36">
        <v>824000</v>
      </c>
      <c r="N385" s="37"/>
      <c r="O385" s="37" t="s">
        <v>34</v>
      </c>
      <c r="P385" s="47" t="str">
        <f>IF(AND('331-CT'!$F$5=TH!H385,OR(N385="331",O385="331")),"x","")</f>
        <v/>
      </c>
      <c r="Q385" s="47" t="str">
        <f>IF(AND(B385='111'!$L$11,OR($N385=$Q$7,$O385=$Q$7)),"x","")</f>
        <v/>
      </c>
      <c r="R385" s="47" t="str">
        <f>IF(AND($N385=$Q$7,$B385&lt;'111'!$L$11),"x","")</f>
        <v/>
      </c>
      <c r="S385" s="47" t="str">
        <f>IF(AND($O385=$Q$7,$B385&lt;'111'!$L$11),"x","")</f>
        <v>x</v>
      </c>
    </row>
    <row r="386" spans="1:19" ht="15.75" customHeight="1">
      <c r="A386" s="152" t="str">
        <f>IF(B386&lt;&gt;"",IF(AND(B386='IN-TC'!$S$4,OR(TH!N386="1111",TH!O386="1111")),TH!D386,""),"")</f>
        <v/>
      </c>
      <c r="B386" s="34">
        <f t="shared" si="13"/>
        <v>3</v>
      </c>
      <c r="C386" s="35">
        <f t="shared" si="14"/>
        <v>42444</v>
      </c>
      <c r="D386" s="212" t="s">
        <v>910</v>
      </c>
      <c r="E386" s="35">
        <v>42444</v>
      </c>
      <c r="F386" s="144" t="s">
        <v>474</v>
      </c>
      <c r="G386" s="191" t="s">
        <v>224</v>
      </c>
      <c r="H386" s="198"/>
      <c r="I386" s="186"/>
      <c r="J386" s="186"/>
      <c r="K386" s="185"/>
      <c r="L386" s="186"/>
      <c r="M386" s="36">
        <v>589000</v>
      </c>
      <c r="N386" s="37"/>
      <c r="O386" s="37" t="s">
        <v>34</v>
      </c>
      <c r="P386" s="47" t="str">
        <f>IF(AND('331-CT'!$F$5=TH!H386,OR(N386="331",O386="331")),"x","")</f>
        <v/>
      </c>
      <c r="Q386" s="47" t="str">
        <f>IF(AND(B386='111'!$L$11,OR($N386=$Q$7,$O386=$Q$7)),"x","")</f>
        <v/>
      </c>
      <c r="R386" s="47" t="str">
        <f>IF(AND($N386=$Q$7,$B386&lt;'111'!$L$11),"x","")</f>
        <v/>
      </c>
      <c r="S386" s="47" t="str">
        <f>IF(AND($O386=$Q$7,$B386&lt;'111'!$L$11),"x","")</f>
        <v>x</v>
      </c>
    </row>
    <row r="387" spans="1:19" ht="15.75" customHeight="1">
      <c r="A387" s="152" t="str">
        <f>IF(B387&lt;&gt;"",IF(AND(B387='IN-TC'!$S$4,OR(TH!N387="1111",TH!O387="1111")),TH!D387,""),"")</f>
        <v/>
      </c>
      <c r="B387" s="34">
        <f t="shared" si="13"/>
        <v>3</v>
      </c>
      <c r="C387" s="35">
        <f t="shared" si="14"/>
        <v>42444</v>
      </c>
      <c r="D387" s="212" t="s">
        <v>911</v>
      </c>
      <c r="E387" s="35">
        <v>42444</v>
      </c>
      <c r="F387" s="144" t="s">
        <v>475</v>
      </c>
      <c r="G387" s="191" t="s">
        <v>214</v>
      </c>
      <c r="H387" s="198"/>
      <c r="I387" s="186"/>
      <c r="J387" s="186"/>
      <c r="K387" s="185"/>
      <c r="L387" s="186"/>
      <c r="M387" s="36">
        <v>130000</v>
      </c>
      <c r="N387" s="37"/>
      <c r="O387" s="37" t="s">
        <v>34</v>
      </c>
      <c r="P387" s="47" t="str">
        <f>IF(AND('331-CT'!$F$5=TH!H387,OR(N387="331",O387="331")),"x","")</f>
        <v/>
      </c>
      <c r="Q387" s="47" t="str">
        <f>IF(AND(B387='111'!$L$11,OR($N387=$Q$7,$O387=$Q$7)),"x","")</f>
        <v/>
      </c>
      <c r="R387" s="47" t="str">
        <f>IF(AND($N387=$Q$7,$B387&lt;'111'!$L$11),"x","")</f>
        <v/>
      </c>
      <c r="S387" s="47" t="str">
        <f>IF(AND($O387=$Q$7,$B387&lt;'111'!$L$11),"x","")</f>
        <v>x</v>
      </c>
    </row>
    <row r="388" spans="1:19" ht="15.75" customHeight="1">
      <c r="A388" s="152" t="str">
        <f>IF(B388&lt;&gt;"",IF(AND(B388='IN-TC'!$S$4,OR(TH!N388="1111",TH!O388="1111")),TH!D388,""),"")</f>
        <v/>
      </c>
      <c r="B388" s="34">
        <f t="shared" si="13"/>
        <v>3</v>
      </c>
      <c r="C388" s="35">
        <f t="shared" si="14"/>
        <v>42444</v>
      </c>
      <c r="D388" s="212" t="s">
        <v>912</v>
      </c>
      <c r="E388" s="35">
        <v>42444</v>
      </c>
      <c r="F388" s="144" t="s">
        <v>326</v>
      </c>
      <c r="G388" s="191" t="s">
        <v>104</v>
      </c>
      <c r="H388" s="198"/>
      <c r="I388" s="186"/>
      <c r="J388" s="186"/>
      <c r="K388" s="185"/>
      <c r="L388" s="186"/>
      <c r="M388" s="36">
        <v>380000000</v>
      </c>
      <c r="N388" s="37"/>
      <c r="O388" s="37" t="s">
        <v>34</v>
      </c>
      <c r="P388" s="47" t="str">
        <f>IF(AND('331-CT'!$F$5=TH!H388,OR(N388="331",O388="331")),"x","")</f>
        <v/>
      </c>
      <c r="Q388" s="47" t="str">
        <f>IF(AND(B388='111'!$L$11,OR($N388=$Q$7,$O388=$Q$7)),"x","")</f>
        <v/>
      </c>
      <c r="R388" s="47" t="str">
        <f>IF(AND($N388=$Q$7,$B388&lt;'111'!$L$11),"x","")</f>
        <v/>
      </c>
      <c r="S388" s="47" t="str">
        <f>IF(AND($O388=$Q$7,$B388&lt;'111'!$L$11),"x","")</f>
        <v>x</v>
      </c>
    </row>
    <row r="389" spans="1:19" ht="15.75" customHeight="1">
      <c r="A389" s="152" t="str">
        <f>IF(B389&lt;&gt;"",IF(AND(B389='IN-TC'!$S$4,OR(TH!N389="1111",TH!O389="1111")),TH!D389,""),"")</f>
        <v/>
      </c>
      <c r="B389" s="34">
        <f t="shared" si="13"/>
        <v>3</v>
      </c>
      <c r="C389" s="35">
        <f t="shared" si="14"/>
        <v>42445</v>
      </c>
      <c r="D389" s="212" t="s">
        <v>913</v>
      </c>
      <c r="E389" s="35">
        <v>42445</v>
      </c>
      <c r="F389" s="144" t="s">
        <v>476</v>
      </c>
      <c r="G389" s="191" t="s">
        <v>204</v>
      </c>
      <c r="H389" s="198"/>
      <c r="I389" s="186"/>
      <c r="J389" s="186"/>
      <c r="K389" s="185"/>
      <c r="L389" s="186"/>
      <c r="M389" s="36">
        <v>50000000</v>
      </c>
      <c r="N389" s="37"/>
      <c r="O389" s="37" t="s">
        <v>34</v>
      </c>
      <c r="P389" s="47" t="str">
        <f>IF(AND('331-CT'!$F$5=TH!H389,OR(N389="331",O389="331")),"x","")</f>
        <v/>
      </c>
      <c r="Q389" s="47" t="str">
        <f>IF(AND(B389='111'!$L$11,OR($N389=$Q$7,$O389=$Q$7)),"x","")</f>
        <v/>
      </c>
      <c r="R389" s="47" t="str">
        <f>IF(AND($N389=$Q$7,$B389&lt;'111'!$L$11),"x","")</f>
        <v/>
      </c>
      <c r="S389" s="47" t="str">
        <f>IF(AND($O389=$Q$7,$B389&lt;'111'!$L$11),"x","")</f>
        <v>x</v>
      </c>
    </row>
    <row r="390" spans="1:19" ht="15.75" customHeight="1">
      <c r="A390" s="152" t="str">
        <f>IF(B390&lt;&gt;"",IF(AND(B390='IN-TC'!$S$4,OR(TH!N390="1111",TH!O390="1111")),TH!D390,""),"")</f>
        <v/>
      </c>
      <c r="B390" s="34">
        <f t="shared" si="13"/>
        <v>3</v>
      </c>
      <c r="C390" s="35">
        <f t="shared" si="14"/>
        <v>42445</v>
      </c>
      <c r="D390" s="212" t="s">
        <v>914</v>
      </c>
      <c r="E390" s="35">
        <v>42445</v>
      </c>
      <c r="F390" s="144" t="s">
        <v>346</v>
      </c>
      <c r="G390" s="191" t="s">
        <v>105</v>
      </c>
      <c r="H390" s="198" t="s">
        <v>1434</v>
      </c>
      <c r="I390" s="186"/>
      <c r="J390" s="186"/>
      <c r="K390" s="185"/>
      <c r="L390" s="186"/>
      <c r="M390" s="36">
        <v>40000000</v>
      </c>
      <c r="N390" s="37" t="s">
        <v>812</v>
      </c>
      <c r="O390" s="37" t="s">
        <v>34</v>
      </c>
      <c r="P390" s="47" t="str">
        <f>IF(AND('331-CT'!$F$5=TH!H390,OR(N390="331",O390="331")),"x","")</f>
        <v/>
      </c>
      <c r="Q390" s="47" t="str">
        <f>IF(AND(B390='111'!$L$11,OR($N390=$Q$7,$O390=$Q$7)),"x","")</f>
        <v/>
      </c>
      <c r="R390" s="47" t="str">
        <f>IF(AND($N390=$Q$7,$B390&lt;'111'!$L$11),"x","")</f>
        <v/>
      </c>
      <c r="S390" s="47" t="str">
        <f>IF(AND($O390=$Q$7,$B390&lt;'111'!$L$11),"x","")</f>
        <v>x</v>
      </c>
    </row>
    <row r="391" spans="1:19" ht="15.75" customHeight="1">
      <c r="A391" s="152" t="str">
        <f>IF(B391&lt;&gt;"",IF(AND(B391='IN-TC'!$S$4,OR(TH!N391="1111",TH!O391="1111")),TH!D391,""),"")</f>
        <v/>
      </c>
      <c r="B391" s="34">
        <f t="shared" si="13"/>
        <v>3</v>
      </c>
      <c r="C391" s="35">
        <f t="shared" si="14"/>
        <v>42445</v>
      </c>
      <c r="D391" s="212" t="s">
        <v>915</v>
      </c>
      <c r="E391" s="35">
        <v>42445</v>
      </c>
      <c r="F391" s="144" t="s">
        <v>331</v>
      </c>
      <c r="G391" s="191" t="s">
        <v>206</v>
      </c>
      <c r="H391" s="198" t="s">
        <v>838</v>
      </c>
      <c r="I391" s="186"/>
      <c r="J391" s="186"/>
      <c r="K391" s="185"/>
      <c r="L391" s="186"/>
      <c r="M391" s="36">
        <v>200000000</v>
      </c>
      <c r="N391" s="37" t="s">
        <v>8</v>
      </c>
      <c r="O391" s="37" t="s">
        <v>34</v>
      </c>
      <c r="P391" s="47" t="str">
        <f>IF(AND('331-CT'!$F$5=TH!H391,OR(N391="331",O391="331")),"x","")</f>
        <v/>
      </c>
      <c r="Q391" s="47" t="str">
        <f>IF(AND(B391='111'!$L$11,OR($N391=$Q$7,$O391=$Q$7)),"x","")</f>
        <v/>
      </c>
      <c r="R391" s="47" t="str">
        <f>IF(AND($N391=$Q$7,$B391&lt;'111'!$L$11),"x","")</f>
        <v/>
      </c>
      <c r="S391" s="47" t="str">
        <f>IF(AND($O391=$Q$7,$B391&lt;'111'!$L$11),"x","")</f>
        <v>x</v>
      </c>
    </row>
    <row r="392" spans="1:19" ht="15.75" customHeight="1">
      <c r="A392" s="152" t="str">
        <f>IF(B392&lt;&gt;"",IF(AND(B392='IN-TC'!$S$4,OR(TH!N392="1111",TH!O392="1111")),TH!D392,""),"")</f>
        <v/>
      </c>
      <c r="B392" s="34">
        <f t="shared" si="13"/>
        <v>3</v>
      </c>
      <c r="C392" s="35">
        <f t="shared" si="14"/>
        <v>42445</v>
      </c>
      <c r="D392" s="212" t="s">
        <v>916</v>
      </c>
      <c r="E392" s="35">
        <v>42445</v>
      </c>
      <c r="F392" s="144" t="s">
        <v>315</v>
      </c>
      <c r="G392" s="191" t="s">
        <v>206</v>
      </c>
      <c r="H392" s="198" t="s">
        <v>823</v>
      </c>
      <c r="I392" s="186"/>
      <c r="J392" s="186"/>
      <c r="K392" s="185"/>
      <c r="L392" s="186"/>
      <c r="M392" s="36">
        <v>64500000</v>
      </c>
      <c r="N392" s="37" t="s">
        <v>8</v>
      </c>
      <c r="O392" s="37" t="s">
        <v>34</v>
      </c>
      <c r="P392" s="47" t="str">
        <f>IF(AND('331-CT'!$F$5=TH!H392,OR(N392="331",O392="331")),"x","")</f>
        <v/>
      </c>
      <c r="Q392" s="47" t="str">
        <f>IF(AND(B392='111'!$L$11,OR($N392=$Q$7,$O392=$Q$7)),"x","")</f>
        <v/>
      </c>
      <c r="R392" s="47" t="str">
        <f>IF(AND($N392=$Q$7,$B392&lt;'111'!$L$11),"x","")</f>
        <v/>
      </c>
      <c r="S392" s="47" t="str">
        <f>IF(AND($O392=$Q$7,$B392&lt;'111'!$L$11),"x","")</f>
        <v>x</v>
      </c>
    </row>
    <row r="393" spans="1:19" ht="15.75" customHeight="1">
      <c r="A393" s="152" t="str">
        <f>IF(B393&lt;&gt;"",IF(AND(B393='IN-TC'!$S$4,OR(TH!N393="1111",TH!O393="1111")),TH!D393,""),"")</f>
        <v/>
      </c>
      <c r="B393" s="34">
        <f t="shared" si="13"/>
        <v>3</v>
      </c>
      <c r="C393" s="35">
        <f t="shared" si="14"/>
        <v>42445</v>
      </c>
      <c r="D393" s="212" t="s">
        <v>917</v>
      </c>
      <c r="E393" s="35">
        <v>42445</v>
      </c>
      <c r="F393" s="144" t="s">
        <v>299</v>
      </c>
      <c r="G393" s="191" t="s">
        <v>206</v>
      </c>
      <c r="H393" s="198" t="s">
        <v>846</v>
      </c>
      <c r="I393" s="186"/>
      <c r="J393" s="186"/>
      <c r="K393" s="185"/>
      <c r="L393" s="186"/>
      <c r="M393" s="36">
        <v>50596000</v>
      </c>
      <c r="N393" s="37" t="s">
        <v>8</v>
      </c>
      <c r="O393" s="37" t="s">
        <v>34</v>
      </c>
      <c r="P393" s="47" t="str">
        <f>IF(AND('331-CT'!$F$5=TH!H393,OR(N393="331",O393="331")),"x","")</f>
        <v/>
      </c>
      <c r="Q393" s="47" t="str">
        <f>IF(AND(B393='111'!$L$11,OR($N393=$Q$7,$O393=$Q$7)),"x","")</f>
        <v/>
      </c>
      <c r="R393" s="47" t="str">
        <f>IF(AND($N393=$Q$7,$B393&lt;'111'!$L$11),"x","")</f>
        <v/>
      </c>
      <c r="S393" s="47" t="str">
        <f>IF(AND($O393=$Q$7,$B393&lt;'111'!$L$11),"x","")</f>
        <v>x</v>
      </c>
    </row>
    <row r="394" spans="1:19" ht="15.75" customHeight="1">
      <c r="A394" s="152" t="str">
        <f>IF(B394&lt;&gt;"",IF(AND(B394='IN-TC'!$S$4,OR(TH!N394="1111",TH!O394="1111")),TH!D394,""),"")</f>
        <v/>
      </c>
      <c r="B394" s="34">
        <f t="shared" si="13"/>
        <v>3</v>
      </c>
      <c r="C394" s="35">
        <f t="shared" si="14"/>
        <v>42445</v>
      </c>
      <c r="D394" s="212" t="s">
        <v>918</v>
      </c>
      <c r="E394" s="35">
        <v>42445</v>
      </c>
      <c r="F394" s="144" t="s">
        <v>382</v>
      </c>
      <c r="G394" s="191" t="s">
        <v>206</v>
      </c>
      <c r="H394" s="198" t="s">
        <v>848</v>
      </c>
      <c r="I394" s="186"/>
      <c r="J394" s="186"/>
      <c r="K394" s="185"/>
      <c r="L394" s="186"/>
      <c r="M394" s="36">
        <v>152840000</v>
      </c>
      <c r="N394" s="37" t="s">
        <v>8</v>
      </c>
      <c r="O394" s="37" t="s">
        <v>34</v>
      </c>
      <c r="P394" s="47" t="str">
        <f>IF(AND('331-CT'!$F$5=TH!H394,OR(N394="331",O394="331")),"x","")</f>
        <v/>
      </c>
      <c r="Q394" s="47" t="str">
        <f>IF(AND(B394='111'!$L$11,OR($N394=$Q$7,$O394=$Q$7)),"x","")</f>
        <v/>
      </c>
      <c r="R394" s="47" t="str">
        <f>IF(AND($N394=$Q$7,$B394&lt;'111'!$L$11),"x","")</f>
        <v/>
      </c>
      <c r="S394" s="47" t="str">
        <f>IF(AND($O394=$Q$7,$B394&lt;'111'!$L$11),"x","")</f>
        <v>x</v>
      </c>
    </row>
    <row r="395" spans="1:19" ht="15.75" customHeight="1">
      <c r="A395" s="152" t="str">
        <f>IF(B395&lt;&gt;"",IF(AND(B395='IN-TC'!$S$4,OR(TH!N395="1111",TH!O395="1111")),TH!D395,""),"")</f>
        <v/>
      </c>
      <c r="B395" s="34">
        <f t="shared" si="13"/>
        <v>3</v>
      </c>
      <c r="C395" s="35">
        <f t="shared" si="14"/>
        <v>42445</v>
      </c>
      <c r="D395" s="212" t="s">
        <v>919</v>
      </c>
      <c r="E395" s="35">
        <v>42445</v>
      </c>
      <c r="F395" s="144" t="s">
        <v>477</v>
      </c>
      <c r="G395" s="191" t="s">
        <v>220</v>
      </c>
      <c r="H395" s="198"/>
      <c r="I395" s="186"/>
      <c r="J395" s="186"/>
      <c r="K395" s="185"/>
      <c r="L395" s="186"/>
      <c r="M395" s="36">
        <v>157700000</v>
      </c>
      <c r="N395" s="37"/>
      <c r="O395" s="37" t="s">
        <v>34</v>
      </c>
      <c r="P395" s="47" t="str">
        <f>IF(AND('331-CT'!$F$5=TH!H395,OR(N395="331",O395="331")),"x","")</f>
        <v/>
      </c>
      <c r="Q395" s="47" t="str">
        <f>IF(AND(B395='111'!$L$11,OR($N395=$Q$7,$O395=$Q$7)),"x","")</f>
        <v/>
      </c>
      <c r="R395" s="47" t="str">
        <f>IF(AND($N395=$Q$7,$B395&lt;'111'!$L$11),"x","")</f>
        <v/>
      </c>
      <c r="S395" s="47" t="str">
        <f>IF(AND($O395=$Q$7,$B395&lt;'111'!$L$11),"x","")</f>
        <v>x</v>
      </c>
    </row>
    <row r="396" spans="1:19" ht="15.75" customHeight="1">
      <c r="A396" s="152" t="str">
        <f>IF(B396&lt;&gt;"",IF(AND(B396='IN-TC'!$S$4,OR(TH!N396="1111",TH!O396="1111")),TH!D396,""),"")</f>
        <v/>
      </c>
      <c r="B396" s="34">
        <f t="shared" si="13"/>
        <v>3</v>
      </c>
      <c r="C396" s="35">
        <f t="shared" si="14"/>
        <v>42445</v>
      </c>
      <c r="D396" s="212" t="s">
        <v>920</v>
      </c>
      <c r="E396" s="35">
        <v>42445</v>
      </c>
      <c r="F396" s="144" t="s">
        <v>478</v>
      </c>
      <c r="G396" s="191" t="s">
        <v>212</v>
      </c>
      <c r="H396" s="198"/>
      <c r="I396" s="186"/>
      <c r="J396" s="186"/>
      <c r="K396" s="185"/>
      <c r="L396" s="186"/>
      <c r="M396" s="36">
        <v>196461000</v>
      </c>
      <c r="N396" s="37"/>
      <c r="O396" s="37" t="s">
        <v>34</v>
      </c>
      <c r="P396" s="47" t="str">
        <f>IF(AND('331-CT'!$F$5=TH!H396,OR(N396="331",O396="331")),"x","")</f>
        <v/>
      </c>
      <c r="Q396" s="47" t="str">
        <f>IF(AND(B396='111'!$L$11,OR($N396=$Q$7,$O396=$Q$7)),"x","")</f>
        <v/>
      </c>
      <c r="R396" s="47" t="str">
        <f>IF(AND($N396=$Q$7,$B396&lt;'111'!$L$11),"x","")</f>
        <v/>
      </c>
      <c r="S396" s="47" t="str">
        <f>IF(AND($O396=$Q$7,$B396&lt;'111'!$L$11),"x","")</f>
        <v>x</v>
      </c>
    </row>
    <row r="397" spans="1:19" ht="15.75" customHeight="1">
      <c r="A397" s="152" t="str">
        <f>IF(B397&lt;&gt;"",IF(AND(B397='IN-TC'!$S$4,OR(TH!N397="1111",TH!O397="1111")),TH!D397,""),"")</f>
        <v/>
      </c>
      <c r="B397" s="34">
        <f t="shared" ref="B397:B460" si="15">IF(C397&lt;&gt;"",MONTH(C397),"")</f>
        <v>3</v>
      </c>
      <c r="C397" s="35">
        <f t="shared" ref="C397:C460" si="16">E397</f>
        <v>42445</v>
      </c>
      <c r="D397" s="212" t="s">
        <v>921</v>
      </c>
      <c r="E397" s="35">
        <v>42445</v>
      </c>
      <c r="F397" s="144" t="s">
        <v>479</v>
      </c>
      <c r="G397" s="191" t="s">
        <v>207</v>
      </c>
      <c r="H397" s="198"/>
      <c r="I397" s="186"/>
      <c r="J397" s="186"/>
      <c r="K397" s="185"/>
      <c r="L397" s="186"/>
      <c r="M397" s="36">
        <v>500000</v>
      </c>
      <c r="N397" s="37"/>
      <c r="O397" s="37" t="s">
        <v>34</v>
      </c>
      <c r="P397" s="47" t="str">
        <f>IF(AND('331-CT'!$F$5=TH!H397,OR(N397="331",O397="331")),"x","")</f>
        <v/>
      </c>
      <c r="Q397" s="47" t="str">
        <f>IF(AND(B397='111'!$L$11,OR($N397=$Q$7,$O397=$Q$7)),"x","")</f>
        <v/>
      </c>
      <c r="R397" s="47" t="str">
        <f>IF(AND($N397=$Q$7,$B397&lt;'111'!$L$11),"x","")</f>
        <v/>
      </c>
      <c r="S397" s="47" t="str">
        <f>IF(AND($O397=$Q$7,$B397&lt;'111'!$L$11),"x","")</f>
        <v>x</v>
      </c>
    </row>
    <row r="398" spans="1:19" ht="15.75" customHeight="1">
      <c r="A398" s="152" t="str">
        <f>IF(B398&lt;&gt;"",IF(AND(B398='IN-TC'!$S$4,OR(TH!N398="1111",TH!O398="1111")),TH!D398,""),"")</f>
        <v/>
      </c>
      <c r="B398" s="34">
        <f t="shared" si="15"/>
        <v>3</v>
      </c>
      <c r="C398" s="35">
        <f t="shared" si="16"/>
        <v>42445</v>
      </c>
      <c r="D398" s="212" t="s">
        <v>922</v>
      </c>
      <c r="E398" s="35">
        <v>42445</v>
      </c>
      <c r="F398" s="144" t="s">
        <v>480</v>
      </c>
      <c r="G398" s="191" t="s">
        <v>212</v>
      </c>
      <c r="H398" s="198"/>
      <c r="I398" s="186"/>
      <c r="J398" s="186"/>
      <c r="K398" s="185"/>
      <c r="L398" s="186"/>
      <c r="M398" s="36">
        <v>9498000</v>
      </c>
      <c r="N398" s="37"/>
      <c r="O398" s="37" t="s">
        <v>34</v>
      </c>
      <c r="P398" s="47" t="str">
        <f>IF(AND('331-CT'!$F$5=TH!H398,OR(N398="331",O398="331")),"x","")</f>
        <v/>
      </c>
      <c r="Q398" s="47" t="str">
        <f>IF(AND(B398='111'!$L$11,OR($N398=$Q$7,$O398=$Q$7)),"x","")</f>
        <v/>
      </c>
      <c r="R398" s="47" t="str">
        <f>IF(AND($N398=$Q$7,$B398&lt;'111'!$L$11),"x","")</f>
        <v/>
      </c>
      <c r="S398" s="47" t="str">
        <f>IF(AND($O398=$Q$7,$B398&lt;'111'!$L$11),"x","")</f>
        <v>x</v>
      </c>
    </row>
    <row r="399" spans="1:19" ht="15.75" customHeight="1">
      <c r="A399" s="152" t="str">
        <f>IF(B399&lt;&gt;"",IF(AND(B399='IN-TC'!$S$4,OR(TH!N399="1111",TH!O399="1111")),TH!D399,""),"")</f>
        <v/>
      </c>
      <c r="B399" s="34">
        <f t="shared" si="15"/>
        <v>3</v>
      </c>
      <c r="C399" s="35">
        <f t="shared" si="16"/>
        <v>42445</v>
      </c>
      <c r="D399" s="212" t="s">
        <v>923</v>
      </c>
      <c r="E399" s="35">
        <v>42445</v>
      </c>
      <c r="F399" s="144" t="s">
        <v>481</v>
      </c>
      <c r="G399" s="191" t="s">
        <v>111</v>
      </c>
      <c r="H399" s="198"/>
      <c r="I399" s="186"/>
      <c r="J399" s="186"/>
      <c r="K399" s="185"/>
      <c r="L399" s="186"/>
      <c r="M399" s="36">
        <v>130000</v>
      </c>
      <c r="N399" s="37"/>
      <c r="O399" s="37" t="s">
        <v>34</v>
      </c>
      <c r="P399" s="47" t="str">
        <f>IF(AND('331-CT'!$F$5=TH!H399,OR(N399="331",O399="331")),"x","")</f>
        <v/>
      </c>
      <c r="Q399" s="47" t="str">
        <f>IF(AND(B399='111'!$L$11,OR($N399=$Q$7,$O399=$Q$7)),"x","")</f>
        <v/>
      </c>
      <c r="R399" s="47" t="str">
        <f>IF(AND($N399=$Q$7,$B399&lt;'111'!$L$11),"x","")</f>
        <v/>
      </c>
      <c r="S399" s="47" t="str">
        <f>IF(AND($O399=$Q$7,$B399&lt;'111'!$L$11),"x","")</f>
        <v>x</v>
      </c>
    </row>
    <row r="400" spans="1:19" ht="15.75" customHeight="1">
      <c r="A400" s="152" t="str">
        <f>IF(B400&lt;&gt;"",IF(AND(B400='IN-TC'!$S$4,OR(TH!N400="1111",TH!O400="1111")),TH!D400,""),"")</f>
        <v/>
      </c>
      <c r="B400" s="34">
        <f t="shared" si="15"/>
        <v>3</v>
      </c>
      <c r="C400" s="35">
        <f t="shared" si="16"/>
        <v>42445</v>
      </c>
      <c r="D400" s="212" t="s">
        <v>924</v>
      </c>
      <c r="E400" s="35">
        <v>42445</v>
      </c>
      <c r="F400" s="144" t="s">
        <v>1395</v>
      </c>
      <c r="G400" s="191" t="s">
        <v>206</v>
      </c>
      <c r="H400" s="198" t="s">
        <v>847</v>
      </c>
      <c r="I400" s="186"/>
      <c r="J400" s="186"/>
      <c r="K400" s="185"/>
      <c r="L400" s="186"/>
      <c r="M400" s="36">
        <v>20017000</v>
      </c>
      <c r="N400" s="37" t="s">
        <v>8</v>
      </c>
      <c r="O400" s="37" t="s">
        <v>34</v>
      </c>
      <c r="P400" s="47" t="str">
        <f>IF(AND('331-CT'!$F$5=TH!H400,OR(N400="331",O400="331")),"x","")</f>
        <v/>
      </c>
      <c r="Q400" s="47" t="str">
        <f>IF(AND(B400='111'!$L$11,OR($N400=$Q$7,$O400=$Q$7)),"x","")</f>
        <v/>
      </c>
      <c r="R400" s="47" t="str">
        <f>IF(AND($N400=$Q$7,$B400&lt;'111'!$L$11),"x","")</f>
        <v/>
      </c>
      <c r="S400" s="47" t="str">
        <f>IF(AND($O400=$Q$7,$B400&lt;'111'!$L$11),"x","")</f>
        <v>x</v>
      </c>
    </row>
    <row r="401" spans="1:19" ht="15.75" customHeight="1">
      <c r="A401" s="152" t="str">
        <f>IF(B401&lt;&gt;"",IF(AND(B401='IN-TC'!$S$4,OR(TH!N401="1111",TH!O401="1111")),TH!D401,""),"")</f>
        <v/>
      </c>
      <c r="B401" s="34">
        <f t="shared" si="15"/>
        <v>3</v>
      </c>
      <c r="C401" s="35">
        <f t="shared" si="16"/>
        <v>42445</v>
      </c>
      <c r="D401" s="212"/>
      <c r="E401" s="35">
        <v>42445</v>
      </c>
      <c r="F401" s="144" t="s">
        <v>1532</v>
      </c>
      <c r="G401" s="191" t="s">
        <v>838</v>
      </c>
      <c r="H401" s="198" t="s">
        <v>829</v>
      </c>
      <c r="I401" s="186">
        <v>7260</v>
      </c>
      <c r="J401" s="186">
        <v>48500</v>
      </c>
      <c r="K401" s="185"/>
      <c r="L401" s="186"/>
      <c r="M401" s="36">
        <f>ROUND(I401*J401,-3)</f>
        <v>352110000</v>
      </c>
      <c r="N401" s="37" t="s">
        <v>8</v>
      </c>
      <c r="O401" s="37" t="s">
        <v>1443</v>
      </c>
      <c r="P401" s="47" t="str">
        <f>IF(AND('331-CT'!$F$5=TH!H401,OR(N401="331",O401="331")),"x","")</f>
        <v/>
      </c>
      <c r="Q401" s="47" t="str">
        <f>IF(AND(B401='111'!$L$11,OR($N401=$Q$7,$O401=$Q$7)),"x","")</f>
        <v/>
      </c>
      <c r="R401" s="47" t="str">
        <f>IF(AND($N401=$Q$7,$B401&lt;'111'!$L$11),"x","")</f>
        <v/>
      </c>
      <c r="S401" s="47" t="str">
        <f>IF(AND($O401=$Q$7,$B401&lt;'111'!$L$11),"x","")</f>
        <v/>
      </c>
    </row>
    <row r="402" spans="1:19" ht="15.75" customHeight="1">
      <c r="A402" s="152" t="str">
        <f>IF(B402&lt;&gt;"",IF(AND(B402='IN-TC'!$S$4,OR(TH!N402="1111",TH!O402="1111")),TH!D402,""),"")</f>
        <v/>
      </c>
      <c r="B402" s="34">
        <f t="shared" si="15"/>
        <v>3</v>
      </c>
      <c r="C402" s="35">
        <f t="shared" si="16"/>
        <v>42445</v>
      </c>
      <c r="D402" s="212"/>
      <c r="E402" s="35">
        <v>42445</v>
      </c>
      <c r="F402" s="144" t="s">
        <v>1533</v>
      </c>
      <c r="G402" s="191"/>
      <c r="H402" s="198" t="s">
        <v>829</v>
      </c>
      <c r="I402" s="186">
        <v>13</v>
      </c>
      <c r="J402" s="186">
        <v>90000</v>
      </c>
      <c r="K402" s="185"/>
      <c r="L402" s="186"/>
      <c r="M402" s="36">
        <f>ROUND(I402*J402,-3)</f>
        <v>1170000</v>
      </c>
      <c r="N402" s="37" t="s">
        <v>8</v>
      </c>
      <c r="O402" s="37" t="s">
        <v>1443</v>
      </c>
      <c r="P402" s="47" t="str">
        <f>IF(AND('331-CT'!$F$5=TH!H402,OR(N402="331",O402="331")),"x","")</f>
        <v/>
      </c>
      <c r="Q402" s="47" t="str">
        <f>IF(AND(B402='111'!$L$11,OR($N402=$Q$7,$O402=$Q$7)),"x","")</f>
        <v/>
      </c>
      <c r="R402" s="47" t="str">
        <f>IF(AND($N402=$Q$7,$B402&lt;'111'!$L$11),"x","")</f>
        <v/>
      </c>
      <c r="S402" s="47" t="str">
        <f>IF(AND($O402=$Q$7,$B402&lt;'111'!$L$11),"x","")</f>
        <v/>
      </c>
    </row>
    <row r="403" spans="1:19" ht="15.75" customHeight="1">
      <c r="A403" s="152" t="str">
        <f>IF(B403&lt;&gt;"",IF(AND(B403='IN-TC'!$S$4,OR(TH!N403="1111",TH!O403="1111")),TH!D403,""),"")</f>
        <v/>
      </c>
      <c r="B403" s="34">
        <f t="shared" si="15"/>
        <v>3</v>
      </c>
      <c r="C403" s="35">
        <f t="shared" si="16"/>
        <v>42446</v>
      </c>
      <c r="D403" s="212" t="s">
        <v>925</v>
      </c>
      <c r="E403" s="35">
        <v>42446</v>
      </c>
      <c r="F403" s="144" t="s">
        <v>482</v>
      </c>
      <c r="G403" s="191" t="s">
        <v>208</v>
      </c>
      <c r="H403" s="198"/>
      <c r="I403" s="186"/>
      <c r="J403" s="186"/>
      <c r="K403" s="185"/>
      <c r="L403" s="186"/>
      <c r="M403" s="36">
        <v>4083000</v>
      </c>
      <c r="N403" s="37"/>
      <c r="O403" s="37" t="s">
        <v>34</v>
      </c>
      <c r="P403" s="47" t="str">
        <f>IF(AND('331-CT'!$F$5=TH!H403,OR(N403="331",O403="331")),"x","")</f>
        <v/>
      </c>
      <c r="Q403" s="47" t="str">
        <f>IF(AND(B403='111'!$L$11,OR($N403=$Q$7,$O403=$Q$7)),"x","")</f>
        <v/>
      </c>
      <c r="R403" s="47" t="str">
        <f>IF(AND($N403=$Q$7,$B403&lt;'111'!$L$11),"x","")</f>
        <v/>
      </c>
      <c r="S403" s="47" t="str">
        <f>IF(AND($O403=$Q$7,$B403&lt;'111'!$L$11),"x","")</f>
        <v>x</v>
      </c>
    </row>
    <row r="404" spans="1:19" ht="15.75" customHeight="1">
      <c r="A404" s="152" t="str">
        <f>IF(B404&lt;&gt;"",IF(AND(B404='IN-TC'!$S$4,OR(TH!N404="1111",TH!O404="1111")),TH!D404,""),"")</f>
        <v/>
      </c>
      <c r="B404" s="34">
        <f t="shared" si="15"/>
        <v>3</v>
      </c>
      <c r="C404" s="35">
        <f t="shared" si="16"/>
        <v>42446</v>
      </c>
      <c r="D404" s="212" t="s">
        <v>926</v>
      </c>
      <c r="E404" s="35">
        <v>42446</v>
      </c>
      <c r="F404" s="144" t="s">
        <v>483</v>
      </c>
      <c r="G404" s="191" t="s">
        <v>202</v>
      </c>
      <c r="H404" s="198"/>
      <c r="I404" s="186"/>
      <c r="J404" s="186"/>
      <c r="K404" s="185"/>
      <c r="L404" s="186"/>
      <c r="M404" s="36">
        <v>57348000</v>
      </c>
      <c r="N404" s="37"/>
      <c r="O404" s="37" t="s">
        <v>34</v>
      </c>
      <c r="P404" s="47" t="str">
        <f>IF(AND('331-CT'!$F$5=TH!H404,OR(N404="331",O404="331")),"x","")</f>
        <v/>
      </c>
      <c r="Q404" s="47" t="str">
        <f>IF(AND(B404='111'!$L$11,OR($N404=$Q$7,$O404=$Q$7)),"x","")</f>
        <v/>
      </c>
      <c r="R404" s="47" t="str">
        <f>IF(AND($N404=$Q$7,$B404&lt;'111'!$L$11),"x","")</f>
        <v/>
      </c>
      <c r="S404" s="47" t="str">
        <f>IF(AND($O404=$Q$7,$B404&lt;'111'!$L$11),"x","")</f>
        <v>x</v>
      </c>
    </row>
    <row r="405" spans="1:19" ht="15.75" customHeight="1">
      <c r="A405" s="152" t="str">
        <f>IF(B405&lt;&gt;"",IF(AND(B405='IN-TC'!$S$4,OR(TH!N405="1111",TH!O405="1111")),TH!D405,""),"")</f>
        <v/>
      </c>
      <c r="B405" s="34">
        <f t="shared" si="15"/>
        <v>3</v>
      </c>
      <c r="C405" s="35">
        <f t="shared" si="16"/>
        <v>42446</v>
      </c>
      <c r="D405" s="212" t="s">
        <v>927</v>
      </c>
      <c r="E405" s="35">
        <v>42446</v>
      </c>
      <c r="F405" s="144" t="s">
        <v>347</v>
      </c>
      <c r="G405" s="191" t="s">
        <v>206</v>
      </c>
      <c r="H405" s="198" t="s">
        <v>825</v>
      </c>
      <c r="I405" s="186"/>
      <c r="J405" s="186"/>
      <c r="K405" s="185"/>
      <c r="L405" s="186"/>
      <c r="M405" s="36">
        <v>100000000</v>
      </c>
      <c r="N405" s="37" t="s">
        <v>8</v>
      </c>
      <c r="O405" s="37" t="s">
        <v>34</v>
      </c>
      <c r="P405" s="47" t="str">
        <f>IF(AND('331-CT'!$F$5=TH!H405,OR(N405="331",O405="331")),"x","")</f>
        <v/>
      </c>
      <c r="Q405" s="47" t="str">
        <f>IF(AND(B405='111'!$L$11,OR($N405=$Q$7,$O405=$Q$7)),"x","")</f>
        <v/>
      </c>
      <c r="R405" s="47" t="str">
        <f>IF(AND($N405=$Q$7,$B405&lt;'111'!$L$11),"x","")</f>
        <v/>
      </c>
      <c r="S405" s="47" t="str">
        <f>IF(AND($O405=$Q$7,$B405&lt;'111'!$L$11),"x","")</f>
        <v>x</v>
      </c>
    </row>
    <row r="406" spans="1:19" ht="15.75" customHeight="1">
      <c r="A406" s="152" t="str">
        <f>IF(B406&lt;&gt;"",IF(AND(B406='IN-TC'!$S$4,OR(TH!N406="1111",TH!O406="1111")),TH!D406,""),"")</f>
        <v/>
      </c>
      <c r="B406" s="34">
        <f t="shared" si="15"/>
        <v>3</v>
      </c>
      <c r="C406" s="35">
        <f t="shared" si="16"/>
        <v>42446</v>
      </c>
      <c r="D406" s="212" t="s">
        <v>928</v>
      </c>
      <c r="E406" s="35">
        <v>42446</v>
      </c>
      <c r="F406" s="144" t="s">
        <v>1388</v>
      </c>
      <c r="G406" s="191" t="s">
        <v>203</v>
      </c>
      <c r="H406" s="198" t="s">
        <v>1418</v>
      </c>
      <c r="I406" s="186"/>
      <c r="J406" s="186"/>
      <c r="K406" s="185"/>
      <c r="L406" s="186"/>
      <c r="M406" s="36">
        <v>33011000</v>
      </c>
      <c r="N406" s="37" t="s">
        <v>814</v>
      </c>
      <c r="O406" s="37" t="s">
        <v>34</v>
      </c>
      <c r="P406" s="47" t="str">
        <f>IF(AND('331-CT'!$F$5=TH!H406,OR(N406="331",O406="331")),"x","")</f>
        <v/>
      </c>
      <c r="Q406" s="47" t="str">
        <f>IF(AND(B406='111'!$L$11,OR($N406=$Q$7,$O406=$Q$7)),"x","")</f>
        <v/>
      </c>
      <c r="R406" s="47" t="str">
        <f>IF(AND($N406=$Q$7,$B406&lt;'111'!$L$11),"x","")</f>
        <v/>
      </c>
      <c r="S406" s="47" t="str">
        <f>IF(AND($O406=$Q$7,$B406&lt;'111'!$L$11),"x","")</f>
        <v>x</v>
      </c>
    </row>
    <row r="407" spans="1:19" ht="15.75" customHeight="1">
      <c r="A407" s="152" t="str">
        <f>IF(B407&lt;&gt;"",IF(AND(B407='IN-TC'!$S$4,OR(TH!N407="1111",TH!O407="1111")),TH!D407,""),"")</f>
        <v/>
      </c>
      <c r="B407" s="34">
        <f t="shared" si="15"/>
        <v>3</v>
      </c>
      <c r="C407" s="35">
        <f t="shared" si="16"/>
        <v>42446</v>
      </c>
      <c r="D407" s="212" t="s">
        <v>929</v>
      </c>
      <c r="E407" s="35">
        <v>42446</v>
      </c>
      <c r="F407" s="144" t="s">
        <v>484</v>
      </c>
      <c r="G407" s="191" t="s">
        <v>221</v>
      </c>
      <c r="H407" s="198"/>
      <c r="I407" s="186"/>
      <c r="J407" s="186"/>
      <c r="K407" s="185"/>
      <c r="L407" s="186"/>
      <c r="M407" s="36">
        <v>5610000</v>
      </c>
      <c r="N407" s="37"/>
      <c r="O407" s="37" t="s">
        <v>34</v>
      </c>
      <c r="P407" s="47" t="str">
        <f>IF(AND('331-CT'!$F$5=TH!H407,OR(N407="331",O407="331")),"x","")</f>
        <v/>
      </c>
      <c r="Q407" s="47" t="str">
        <f>IF(AND(B407='111'!$L$11,OR($N407=$Q$7,$O407=$Q$7)),"x","")</f>
        <v/>
      </c>
      <c r="R407" s="47" t="str">
        <f>IF(AND($N407=$Q$7,$B407&lt;'111'!$L$11),"x","")</f>
        <v/>
      </c>
      <c r="S407" s="47" t="str">
        <f>IF(AND($O407=$Q$7,$B407&lt;'111'!$L$11),"x","")</f>
        <v>x</v>
      </c>
    </row>
    <row r="408" spans="1:19" ht="15.75" customHeight="1">
      <c r="A408" s="152" t="str">
        <f>IF(B408&lt;&gt;"",IF(AND(B408='IN-TC'!$S$4,OR(TH!N408="1111",TH!O408="1111")),TH!D408,""),"")</f>
        <v/>
      </c>
      <c r="B408" s="34">
        <f t="shared" si="15"/>
        <v>3</v>
      </c>
      <c r="C408" s="35">
        <f t="shared" si="16"/>
        <v>42446</v>
      </c>
      <c r="D408" s="212" t="s">
        <v>940</v>
      </c>
      <c r="E408" s="35">
        <v>42446</v>
      </c>
      <c r="F408" s="144" t="s">
        <v>485</v>
      </c>
      <c r="G408" s="191" t="s">
        <v>208</v>
      </c>
      <c r="H408" s="198"/>
      <c r="I408" s="186"/>
      <c r="J408" s="186"/>
      <c r="K408" s="185"/>
      <c r="L408" s="186"/>
      <c r="M408" s="36">
        <v>9337000</v>
      </c>
      <c r="N408" s="37"/>
      <c r="O408" s="37" t="s">
        <v>34</v>
      </c>
      <c r="P408" s="47" t="str">
        <f>IF(AND('331-CT'!$F$5=TH!H408,OR(N408="331",O408="331")),"x","")</f>
        <v/>
      </c>
      <c r="Q408" s="47" t="str">
        <f>IF(AND(B408='111'!$L$11,OR($N408=$Q$7,$O408=$Q$7)),"x","")</f>
        <v/>
      </c>
      <c r="R408" s="47" t="str">
        <f>IF(AND($N408=$Q$7,$B408&lt;'111'!$L$11),"x","")</f>
        <v/>
      </c>
      <c r="S408" s="47" t="str">
        <f>IF(AND($O408=$Q$7,$B408&lt;'111'!$L$11),"x","")</f>
        <v>x</v>
      </c>
    </row>
    <row r="409" spans="1:19" ht="15.75" customHeight="1">
      <c r="A409" s="152" t="str">
        <f>IF(B409&lt;&gt;"",IF(AND(B409='IN-TC'!$S$4,OR(TH!N409="1111",TH!O409="1111")),TH!D409,""),"")</f>
        <v/>
      </c>
      <c r="B409" s="34">
        <f t="shared" si="15"/>
        <v>3</v>
      </c>
      <c r="C409" s="35">
        <f t="shared" si="16"/>
        <v>42446</v>
      </c>
      <c r="D409" s="212" t="s">
        <v>941</v>
      </c>
      <c r="E409" s="35">
        <v>42446</v>
      </c>
      <c r="F409" s="144" t="s">
        <v>372</v>
      </c>
      <c r="G409" s="191" t="s">
        <v>105</v>
      </c>
      <c r="H409" s="198" t="s">
        <v>1073</v>
      </c>
      <c r="I409" s="186"/>
      <c r="J409" s="186"/>
      <c r="K409" s="185"/>
      <c r="L409" s="186"/>
      <c r="M409" s="36">
        <v>300000000</v>
      </c>
      <c r="N409" s="37" t="s">
        <v>812</v>
      </c>
      <c r="O409" s="37" t="s">
        <v>34</v>
      </c>
      <c r="P409" s="47" t="str">
        <f>IF(AND('331-CT'!$F$5=TH!H409,OR(N409="331",O409="331")),"x","")</f>
        <v/>
      </c>
      <c r="Q409" s="47" t="str">
        <f>IF(AND(B409='111'!$L$11,OR($N409=$Q$7,$O409=$Q$7)),"x","")</f>
        <v/>
      </c>
      <c r="R409" s="47" t="str">
        <f>IF(AND($N409=$Q$7,$B409&lt;'111'!$L$11),"x","")</f>
        <v/>
      </c>
      <c r="S409" s="47" t="str">
        <f>IF(AND($O409=$Q$7,$B409&lt;'111'!$L$11),"x","")</f>
        <v>x</v>
      </c>
    </row>
    <row r="410" spans="1:19" ht="15.75" customHeight="1">
      <c r="A410" s="152" t="str">
        <f>IF(B410&lt;&gt;"",IF(AND(B410='IN-TC'!$S$4,OR(TH!N410="1111",TH!O410="1111")),TH!D410,""),"")</f>
        <v/>
      </c>
      <c r="B410" s="34">
        <f t="shared" si="15"/>
        <v>3</v>
      </c>
      <c r="C410" s="35">
        <f t="shared" si="16"/>
        <v>42446</v>
      </c>
      <c r="D410" s="212" t="s">
        <v>941</v>
      </c>
      <c r="E410" s="35">
        <v>42446</v>
      </c>
      <c r="F410" s="144" t="s">
        <v>1424</v>
      </c>
      <c r="G410" s="191"/>
      <c r="H410" s="198"/>
      <c r="I410" s="186"/>
      <c r="J410" s="186"/>
      <c r="K410" s="185"/>
      <c r="L410" s="186"/>
      <c r="M410" s="36">
        <v>150000</v>
      </c>
      <c r="N410" s="37" t="s">
        <v>1425</v>
      </c>
      <c r="O410" s="37" t="s">
        <v>34</v>
      </c>
      <c r="P410" s="47" t="str">
        <f>IF(AND('331-CT'!$F$5=TH!H410,OR(N410="331",O410="331")),"x","")</f>
        <v/>
      </c>
      <c r="Q410" s="47" t="str">
        <f>IF(AND(B410='111'!$L$11,OR($N410=$Q$7,$O410=$Q$7)),"x","")</f>
        <v/>
      </c>
      <c r="R410" s="47" t="str">
        <f>IF(AND($N410=$Q$7,$B410&lt;'111'!$L$11),"x","")</f>
        <v/>
      </c>
      <c r="S410" s="47" t="str">
        <f>IF(AND($O410=$Q$7,$B410&lt;'111'!$L$11),"x","")</f>
        <v>x</v>
      </c>
    </row>
    <row r="411" spans="1:19" ht="15.75" customHeight="1">
      <c r="A411" s="152" t="str">
        <f>IF(B411&lt;&gt;"",IF(AND(B411='IN-TC'!$S$4,OR(TH!N411="1111",TH!O411="1111")),TH!D411,""),"")</f>
        <v/>
      </c>
      <c r="B411" s="34">
        <f t="shared" si="15"/>
        <v>3</v>
      </c>
      <c r="C411" s="35">
        <f t="shared" si="16"/>
        <v>42446</v>
      </c>
      <c r="D411" s="212" t="s">
        <v>942</v>
      </c>
      <c r="E411" s="35">
        <v>42446</v>
      </c>
      <c r="F411" s="144" t="s">
        <v>486</v>
      </c>
      <c r="G411" s="191" t="s">
        <v>206</v>
      </c>
      <c r="H411" s="198" t="s">
        <v>835</v>
      </c>
      <c r="I411" s="186"/>
      <c r="J411" s="186"/>
      <c r="K411" s="185"/>
      <c r="L411" s="186"/>
      <c r="M411" s="36">
        <v>82675000</v>
      </c>
      <c r="N411" s="37" t="s">
        <v>8</v>
      </c>
      <c r="O411" s="37" t="s">
        <v>34</v>
      </c>
      <c r="P411" s="47" t="str">
        <f>IF(AND('331-CT'!$F$5=TH!H411,OR(N411="331",O411="331")),"x","")</f>
        <v/>
      </c>
      <c r="Q411" s="47" t="str">
        <f>IF(AND(B411='111'!$L$11,OR($N411=$Q$7,$O411=$Q$7)),"x","")</f>
        <v/>
      </c>
      <c r="R411" s="47" t="str">
        <f>IF(AND($N411=$Q$7,$B411&lt;'111'!$L$11),"x","")</f>
        <v/>
      </c>
      <c r="S411" s="47" t="str">
        <f>IF(AND($O411=$Q$7,$B411&lt;'111'!$L$11),"x","")</f>
        <v>x</v>
      </c>
    </row>
    <row r="412" spans="1:19" ht="15.75" customHeight="1">
      <c r="A412" s="152" t="str">
        <f>IF(B412&lt;&gt;"",IF(AND(B412='IN-TC'!$S$4,OR(TH!N412="1111",TH!O412="1111")),TH!D412,""),"")</f>
        <v/>
      </c>
      <c r="B412" s="34">
        <f t="shared" si="15"/>
        <v>3</v>
      </c>
      <c r="C412" s="35">
        <f t="shared" si="16"/>
        <v>42447</v>
      </c>
      <c r="D412" s="212" t="s">
        <v>1030</v>
      </c>
      <c r="E412" s="35">
        <v>42447</v>
      </c>
      <c r="F412" s="144" t="s">
        <v>156</v>
      </c>
      <c r="G412" s="191" t="s">
        <v>108</v>
      </c>
      <c r="H412" s="198"/>
      <c r="I412" s="186"/>
      <c r="J412" s="186"/>
      <c r="K412" s="185"/>
      <c r="L412" s="186"/>
      <c r="M412" s="36">
        <v>10630000</v>
      </c>
      <c r="N412" s="37" t="s">
        <v>34</v>
      </c>
      <c r="O412" s="37"/>
      <c r="P412" s="47" t="str">
        <f>IF(AND('331-CT'!$F$5=TH!H412,OR(N412="331",O412="331")),"x","")</f>
        <v/>
      </c>
      <c r="Q412" s="47" t="str">
        <f>IF(AND(B412='111'!$L$11,OR($N412=$Q$7,$O412=$Q$7)),"x","")</f>
        <v/>
      </c>
      <c r="R412" s="47" t="str">
        <f>IF(AND($N412=$Q$7,$B412&lt;'111'!$L$11),"x","")</f>
        <v>x</v>
      </c>
      <c r="S412" s="47" t="str">
        <f>IF(AND($O412=$Q$7,$B412&lt;'111'!$L$11),"x","")</f>
        <v/>
      </c>
    </row>
    <row r="413" spans="1:19" ht="15.75" customHeight="1">
      <c r="A413" s="152" t="str">
        <f>IF(B413&lt;&gt;"",IF(AND(B413='IN-TC'!$S$4,OR(TH!N413="1111",TH!O413="1111")),TH!D413,""),"")</f>
        <v/>
      </c>
      <c r="B413" s="34">
        <f t="shared" si="15"/>
        <v>3</v>
      </c>
      <c r="C413" s="35">
        <f t="shared" si="16"/>
        <v>42447</v>
      </c>
      <c r="D413" s="212" t="s">
        <v>943</v>
      </c>
      <c r="E413" s="35">
        <v>42447</v>
      </c>
      <c r="F413" s="144" t="s">
        <v>487</v>
      </c>
      <c r="G413" s="191" t="s">
        <v>202</v>
      </c>
      <c r="H413" s="198"/>
      <c r="I413" s="186"/>
      <c r="J413" s="186"/>
      <c r="K413" s="185"/>
      <c r="L413" s="186"/>
      <c r="M413" s="36">
        <v>1060000</v>
      </c>
      <c r="N413" s="37"/>
      <c r="O413" s="37" t="s">
        <v>34</v>
      </c>
      <c r="P413" s="47" t="str">
        <f>IF(AND('331-CT'!$F$5=TH!H413,OR(N413="331",O413="331")),"x","")</f>
        <v/>
      </c>
      <c r="Q413" s="47" t="str">
        <f>IF(AND(B413='111'!$L$11,OR($N413=$Q$7,$O413=$Q$7)),"x","")</f>
        <v/>
      </c>
      <c r="R413" s="47" t="str">
        <f>IF(AND($N413=$Q$7,$B413&lt;'111'!$L$11),"x","")</f>
        <v/>
      </c>
      <c r="S413" s="47" t="str">
        <f>IF(AND($O413=$Q$7,$B413&lt;'111'!$L$11),"x","")</f>
        <v>x</v>
      </c>
    </row>
    <row r="414" spans="1:19" ht="15.75" customHeight="1">
      <c r="A414" s="152" t="str">
        <f>IF(B414&lt;&gt;"",IF(AND(B414='IN-TC'!$S$4,OR(TH!N414="1111",TH!O414="1111")),TH!D414,""),"")</f>
        <v/>
      </c>
      <c r="B414" s="34">
        <f t="shared" si="15"/>
        <v>3</v>
      </c>
      <c r="C414" s="35">
        <f t="shared" si="16"/>
        <v>42447</v>
      </c>
      <c r="D414" s="212" t="s">
        <v>944</v>
      </c>
      <c r="E414" s="35">
        <v>42447</v>
      </c>
      <c r="F414" s="144" t="s">
        <v>488</v>
      </c>
      <c r="G414" s="191" t="s">
        <v>112</v>
      </c>
      <c r="H414" s="198"/>
      <c r="I414" s="186"/>
      <c r="J414" s="186"/>
      <c r="K414" s="185"/>
      <c r="L414" s="186"/>
      <c r="M414" s="36">
        <v>1700000</v>
      </c>
      <c r="N414" s="37"/>
      <c r="O414" s="37" t="s">
        <v>34</v>
      </c>
      <c r="P414" s="47" t="str">
        <f>IF(AND('331-CT'!$F$5=TH!H414,OR(N414="331",O414="331")),"x","")</f>
        <v/>
      </c>
      <c r="Q414" s="47" t="str">
        <f>IF(AND(B414='111'!$L$11,OR($N414=$Q$7,$O414=$Q$7)),"x","")</f>
        <v/>
      </c>
      <c r="R414" s="47" t="str">
        <f>IF(AND($N414=$Q$7,$B414&lt;'111'!$L$11),"x","")</f>
        <v/>
      </c>
      <c r="S414" s="47" t="str">
        <f>IF(AND($O414=$Q$7,$B414&lt;'111'!$L$11),"x","")</f>
        <v>x</v>
      </c>
    </row>
    <row r="415" spans="1:19" ht="15.75" customHeight="1">
      <c r="A415" s="152" t="str">
        <f>IF(B415&lt;&gt;"",IF(AND(B415='IN-TC'!$S$4,OR(TH!N415="1111",TH!O415="1111")),TH!D415,""),"")</f>
        <v/>
      </c>
      <c r="B415" s="34">
        <f t="shared" si="15"/>
        <v>3</v>
      </c>
      <c r="C415" s="35">
        <f t="shared" si="16"/>
        <v>42449</v>
      </c>
      <c r="D415" s="212"/>
      <c r="E415" s="35">
        <v>42449</v>
      </c>
      <c r="F415" s="144" t="s">
        <v>1466</v>
      </c>
      <c r="G415" s="191" t="s">
        <v>204</v>
      </c>
      <c r="H415" s="198" t="s">
        <v>832</v>
      </c>
      <c r="I415" s="186">
        <v>2129</v>
      </c>
      <c r="J415" s="186">
        <v>16000</v>
      </c>
      <c r="K415" s="185"/>
      <c r="L415" s="186"/>
      <c r="M415" s="36">
        <f>ROUND(I415*J415,0)</f>
        <v>34064000</v>
      </c>
      <c r="N415" s="37" t="s">
        <v>1443</v>
      </c>
      <c r="O415" s="37" t="s">
        <v>8</v>
      </c>
      <c r="P415" s="47" t="str">
        <f>IF(AND('331-CT'!$F$5=TH!H415,OR(N415="331",O415="331")),"x","")</f>
        <v/>
      </c>
      <c r="Q415" s="47" t="str">
        <f>IF(AND(B415='111'!$L$11,OR($N415=$Q$7,$O415=$Q$7)),"x","")</f>
        <v/>
      </c>
      <c r="R415" s="47" t="str">
        <f>IF(AND($N415=$Q$7,$B415&lt;'111'!$L$11),"x","")</f>
        <v/>
      </c>
      <c r="S415" s="47" t="str">
        <f>IF(AND($O415=$Q$7,$B415&lt;'111'!$L$11),"x","")</f>
        <v/>
      </c>
    </row>
    <row r="416" spans="1:19" ht="15.75" customHeight="1">
      <c r="A416" s="152" t="str">
        <f>IF(B416&lt;&gt;"",IF(AND(B416='IN-TC'!$S$4,OR(TH!N416="1111",TH!O416="1111")),TH!D416,""),"")</f>
        <v/>
      </c>
      <c r="B416" s="34">
        <f t="shared" si="15"/>
        <v>3</v>
      </c>
      <c r="C416" s="35">
        <f t="shared" si="16"/>
        <v>42450</v>
      </c>
      <c r="D416" s="212"/>
      <c r="E416" s="35">
        <v>42450</v>
      </c>
      <c r="F416" s="144" t="s">
        <v>1466</v>
      </c>
      <c r="G416" s="191"/>
      <c r="H416" s="198" t="s">
        <v>840</v>
      </c>
      <c r="I416" s="186">
        <v>3540</v>
      </c>
      <c r="J416" s="186">
        <v>15000</v>
      </c>
      <c r="K416" s="185"/>
      <c r="L416" s="186"/>
      <c r="M416" s="36">
        <f>ROUND(I416*J416,0)</f>
        <v>53100000</v>
      </c>
      <c r="N416" s="37" t="s">
        <v>1443</v>
      </c>
      <c r="O416" s="37" t="s">
        <v>8</v>
      </c>
      <c r="P416" s="47" t="str">
        <f>IF(AND('331-CT'!$F$5=TH!H416,OR(N416="331",O416="331")),"x","")</f>
        <v/>
      </c>
      <c r="Q416" s="47" t="str">
        <f>IF(AND(B416='111'!$L$11,OR($N416=$Q$7,$O416=$Q$7)),"x","")</f>
        <v/>
      </c>
      <c r="R416" s="47" t="str">
        <f>IF(AND($N416=$Q$7,$B416&lt;'111'!$L$11),"x","")</f>
        <v/>
      </c>
      <c r="S416" s="47" t="str">
        <f>IF(AND($O416=$Q$7,$B416&lt;'111'!$L$11),"x","")</f>
        <v/>
      </c>
    </row>
    <row r="417" spans="1:19" ht="15.75" customHeight="1">
      <c r="A417" s="152" t="str">
        <f>IF(B417&lt;&gt;"",IF(AND(B417='IN-TC'!$S$4,OR(TH!N417="1111",TH!O417="1111")),TH!D417,""),"")</f>
        <v/>
      </c>
      <c r="B417" s="34">
        <f t="shared" si="15"/>
        <v>3</v>
      </c>
      <c r="C417" s="35">
        <f t="shared" si="16"/>
        <v>42451</v>
      </c>
      <c r="D417" s="212" t="s">
        <v>1031</v>
      </c>
      <c r="E417" s="35">
        <v>42451</v>
      </c>
      <c r="F417" s="144" t="s">
        <v>150</v>
      </c>
      <c r="G417" s="191" t="s">
        <v>105</v>
      </c>
      <c r="H417" s="198" t="s">
        <v>1042</v>
      </c>
      <c r="I417" s="186"/>
      <c r="J417" s="186"/>
      <c r="K417" s="185"/>
      <c r="L417" s="186"/>
      <c r="M417" s="36">
        <v>500000000</v>
      </c>
      <c r="N417" s="37" t="s">
        <v>34</v>
      </c>
      <c r="O417" s="37" t="s">
        <v>812</v>
      </c>
      <c r="P417" s="47" t="str">
        <f>IF(AND('331-CT'!$F$5=TH!H417,OR(N417="331",O417="331")),"x","")</f>
        <v/>
      </c>
      <c r="Q417" s="47" t="str">
        <f>IF(AND(B417='111'!$L$11,OR($N417=$Q$7,$O417=$Q$7)),"x","")</f>
        <v/>
      </c>
      <c r="R417" s="47" t="str">
        <f>IF(AND($N417=$Q$7,$B417&lt;'111'!$L$11),"x","")</f>
        <v>x</v>
      </c>
      <c r="S417" s="47" t="str">
        <f>IF(AND($O417=$Q$7,$B417&lt;'111'!$L$11),"x","")</f>
        <v/>
      </c>
    </row>
    <row r="418" spans="1:19" ht="15.75" customHeight="1">
      <c r="A418" s="152" t="str">
        <f>IF(B418&lt;&gt;"",IF(AND(B418='IN-TC'!$S$4,OR(TH!N418="1111",TH!O418="1111")),TH!D418,""),"")</f>
        <v/>
      </c>
      <c r="B418" s="34">
        <f t="shared" si="15"/>
        <v>3</v>
      </c>
      <c r="C418" s="35">
        <f t="shared" si="16"/>
        <v>42451</v>
      </c>
      <c r="D418" s="212" t="s">
        <v>1032</v>
      </c>
      <c r="E418" s="35">
        <v>42451</v>
      </c>
      <c r="F418" s="144" t="s">
        <v>144</v>
      </c>
      <c r="G418" s="191" t="s">
        <v>106</v>
      </c>
      <c r="H418" s="198"/>
      <c r="I418" s="186"/>
      <c r="J418" s="186"/>
      <c r="K418" s="185"/>
      <c r="L418" s="186"/>
      <c r="M418" s="36">
        <v>9725000</v>
      </c>
      <c r="N418" s="37" t="s">
        <v>34</v>
      </c>
      <c r="O418" s="37"/>
      <c r="P418" s="47" t="str">
        <f>IF(AND('331-CT'!$F$5=TH!H418,OR(N418="331",O418="331")),"x","")</f>
        <v/>
      </c>
      <c r="Q418" s="47" t="str">
        <f>IF(AND(B418='111'!$L$11,OR($N418=$Q$7,$O418=$Q$7)),"x","")</f>
        <v/>
      </c>
      <c r="R418" s="47" t="str">
        <f>IF(AND($N418=$Q$7,$B418&lt;'111'!$L$11),"x","")</f>
        <v>x</v>
      </c>
      <c r="S418" s="47" t="str">
        <f>IF(AND($O418=$Q$7,$B418&lt;'111'!$L$11),"x","")</f>
        <v/>
      </c>
    </row>
    <row r="419" spans="1:19" ht="15.75" customHeight="1">
      <c r="A419" s="152" t="str">
        <f>IF(B419&lt;&gt;"",IF(AND(B419='IN-TC'!$S$4,OR(TH!N419="1111",TH!O419="1111")),TH!D419,""),"")</f>
        <v/>
      </c>
      <c r="B419" s="34">
        <f t="shared" si="15"/>
        <v>3</v>
      </c>
      <c r="C419" s="35">
        <f t="shared" si="16"/>
        <v>42451</v>
      </c>
      <c r="D419" s="212" t="s">
        <v>1064</v>
      </c>
      <c r="E419" s="35">
        <v>42451</v>
      </c>
      <c r="F419" s="144" t="s">
        <v>157</v>
      </c>
      <c r="G419" s="191" t="s">
        <v>109</v>
      </c>
      <c r="H419" s="198"/>
      <c r="I419" s="186"/>
      <c r="J419" s="186"/>
      <c r="K419" s="185"/>
      <c r="L419" s="186"/>
      <c r="M419" s="36">
        <v>66500000</v>
      </c>
      <c r="N419" s="37" t="s">
        <v>34</v>
      </c>
      <c r="O419" s="37"/>
      <c r="P419" s="47" t="str">
        <f>IF(AND('331-CT'!$F$5=TH!H419,OR(N419="331",O419="331")),"x","")</f>
        <v/>
      </c>
      <c r="Q419" s="47" t="str">
        <f>IF(AND(B419='111'!$L$11,OR($N419=$Q$7,$O419=$Q$7)),"x","")</f>
        <v/>
      </c>
      <c r="R419" s="47" t="str">
        <f>IF(AND($N419=$Q$7,$B419&lt;'111'!$L$11),"x","")</f>
        <v>x</v>
      </c>
      <c r="S419" s="47" t="str">
        <f>IF(AND($O419=$Q$7,$B419&lt;'111'!$L$11),"x","")</f>
        <v/>
      </c>
    </row>
    <row r="420" spans="1:19" ht="15.75" customHeight="1">
      <c r="A420" s="152" t="str">
        <f>IF(B420&lt;&gt;"",IF(AND(B420='IN-TC'!$S$4,OR(TH!N420="1111",TH!O420="1111")),TH!D420,""),"")</f>
        <v/>
      </c>
      <c r="B420" s="34">
        <f t="shared" si="15"/>
        <v>3</v>
      </c>
      <c r="C420" s="35">
        <f t="shared" si="16"/>
        <v>42451</v>
      </c>
      <c r="D420" s="212" t="s">
        <v>1135</v>
      </c>
      <c r="E420" s="35">
        <v>42451</v>
      </c>
      <c r="F420" s="144" t="s">
        <v>158</v>
      </c>
      <c r="G420" s="191" t="s">
        <v>108</v>
      </c>
      <c r="H420" s="198"/>
      <c r="I420" s="186"/>
      <c r="J420" s="186"/>
      <c r="K420" s="185"/>
      <c r="L420" s="186"/>
      <c r="M420" s="36">
        <v>4980000</v>
      </c>
      <c r="N420" s="37" t="s">
        <v>34</v>
      </c>
      <c r="O420" s="37"/>
      <c r="P420" s="47" t="str">
        <f>IF(AND('331-CT'!$F$5=TH!H420,OR(N420="331",O420="331")),"x","")</f>
        <v/>
      </c>
      <c r="Q420" s="47" t="str">
        <f>IF(AND(B420='111'!$L$11,OR($N420=$Q$7,$O420=$Q$7)),"x","")</f>
        <v/>
      </c>
      <c r="R420" s="47" t="str">
        <f>IF(AND($N420=$Q$7,$B420&lt;'111'!$L$11),"x","")</f>
        <v>x</v>
      </c>
      <c r="S420" s="47" t="str">
        <f>IF(AND($O420=$Q$7,$B420&lt;'111'!$L$11),"x","")</f>
        <v/>
      </c>
    </row>
    <row r="421" spans="1:19" ht="15.75" customHeight="1">
      <c r="A421" s="152" t="str">
        <f>IF(B421&lt;&gt;"",IF(AND(B421='IN-TC'!$S$4,OR(TH!N421="1111",TH!O421="1111")),TH!D421,""),"")</f>
        <v/>
      </c>
      <c r="B421" s="34">
        <f t="shared" si="15"/>
        <v>3</v>
      </c>
      <c r="C421" s="35">
        <f t="shared" si="16"/>
        <v>42451</v>
      </c>
      <c r="D421" s="212" t="s">
        <v>945</v>
      </c>
      <c r="E421" s="35">
        <v>42451</v>
      </c>
      <c r="F421" s="144" t="s">
        <v>280</v>
      </c>
      <c r="G421" s="191" t="s">
        <v>221</v>
      </c>
      <c r="H421" s="198"/>
      <c r="I421" s="186"/>
      <c r="J421" s="186"/>
      <c r="K421" s="185"/>
      <c r="L421" s="186"/>
      <c r="M421" s="36">
        <v>7920000</v>
      </c>
      <c r="N421" s="37"/>
      <c r="O421" s="37" t="s">
        <v>34</v>
      </c>
      <c r="P421" s="47" t="str">
        <f>IF(AND('331-CT'!$F$5=TH!H421,OR(N421="331",O421="331")),"x","")</f>
        <v/>
      </c>
      <c r="Q421" s="47" t="str">
        <f>IF(AND(B421='111'!$L$11,OR($N421=$Q$7,$O421=$Q$7)),"x","")</f>
        <v/>
      </c>
      <c r="R421" s="47" t="str">
        <f>IF(AND($N421=$Q$7,$B421&lt;'111'!$L$11),"x","")</f>
        <v/>
      </c>
      <c r="S421" s="47" t="str">
        <f>IF(AND($O421=$Q$7,$B421&lt;'111'!$L$11),"x","")</f>
        <v>x</v>
      </c>
    </row>
    <row r="422" spans="1:19" ht="15.75" customHeight="1">
      <c r="A422" s="152" t="str">
        <f>IF(B422&lt;&gt;"",IF(AND(B422='IN-TC'!$S$4,OR(TH!N422="1111",TH!O422="1111")),TH!D422,""),"")</f>
        <v/>
      </c>
      <c r="B422" s="34">
        <f t="shared" si="15"/>
        <v>3</v>
      </c>
      <c r="C422" s="35">
        <f t="shared" si="16"/>
        <v>42451</v>
      </c>
      <c r="D422" s="212" t="s">
        <v>946</v>
      </c>
      <c r="E422" s="35">
        <v>42451</v>
      </c>
      <c r="F422" s="144" t="s">
        <v>468</v>
      </c>
      <c r="G422" s="191" t="s">
        <v>215</v>
      </c>
      <c r="H422" s="198"/>
      <c r="I422" s="186"/>
      <c r="J422" s="186"/>
      <c r="K422" s="185"/>
      <c r="L422" s="186"/>
      <c r="M422" s="36">
        <v>10000000</v>
      </c>
      <c r="N422" s="37"/>
      <c r="O422" s="37" t="s">
        <v>34</v>
      </c>
      <c r="P422" s="47" t="str">
        <f>IF(AND('331-CT'!$F$5=TH!H422,OR(N422="331",O422="331")),"x","")</f>
        <v/>
      </c>
      <c r="Q422" s="47" t="str">
        <f>IF(AND(B422='111'!$L$11,OR($N422=$Q$7,$O422=$Q$7)),"x","")</f>
        <v/>
      </c>
      <c r="R422" s="47" t="str">
        <f>IF(AND($N422=$Q$7,$B422&lt;'111'!$L$11),"x","")</f>
        <v/>
      </c>
      <c r="S422" s="47" t="str">
        <f>IF(AND($O422=$Q$7,$B422&lt;'111'!$L$11),"x","")</f>
        <v>x</v>
      </c>
    </row>
    <row r="423" spans="1:19" ht="15.75" customHeight="1">
      <c r="A423" s="152" t="str">
        <f>IF(B423&lt;&gt;"",IF(AND(B423='IN-TC'!$S$4,OR(TH!N423="1111",TH!O423="1111")),TH!D423,""),"")</f>
        <v/>
      </c>
      <c r="B423" s="34">
        <f t="shared" si="15"/>
        <v>3</v>
      </c>
      <c r="C423" s="35">
        <f t="shared" si="16"/>
        <v>42451</v>
      </c>
      <c r="D423" s="212" t="s">
        <v>947</v>
      </c>
      <c r="E423" s="35">
        <v>42451</v>
      </c>
      <c r="F423" s="144" t="s">
        <v>489</v>
      </c>
      <c r="G423" s="191" t="s">
        <v>216</v>
      </c>
      <c r="H423" s="198"/>
      <c r="I423" s="186"/>
      <c r="J423" s="186"/>
      <c r="K423" s="185"/>
      <c r="L423" s="186"/>
      <c r="M423" s="36">
        <v>23000000</v>
      </c>
      <c r="N423" s="37"/>
      <c r="O423" s="37" t="s">
        <v>34</v>
      </c>
      <c r="P423" s="47" t="str">
        <f>IF(AND('331-CT'!$F$5=TH!H423,OR(N423="331",O423="331")),"x","")</f>
        <v/>
      </c>
      <c r="Q423" s="47" t="str">
        <f>IF(AND(B423='111'!$L$11,OR($N423=$Q$7,$O423=$Q$7)),"x","")</f>
        <v/>
      </c>
      <c r="R423" s="47" t="str">
        <f>IF(AND($N423=$Q$7,$B423&lt;'111'!$L$11),"x","")</f>
        <v/>
      </c>
      <c r="S423" s="47" t="str">
        <f>IF(AND($O423=$Q$7,$B423&lt;'111'!$L$11),"x","")</f>
        <v>x</v>
      </c>
    </row>
    <row r="424" spans="1:19" ht="15.75" customHeight="1">
      <c r="A424" s="152" t="str">
        <f>IF(B424&lt;&gt;"",IF(AND(B424='IN-TC'!$S$4,OR(TH!N424="1111",TH!O424="1111")),TH!D424,""),"")</f>
        <v/>
      </c>
      <c r="B424" s="34">
        <f t="shared" si="15"/>
        <v>3</v>
      </c>
      <c r="C424" s="35">
        <f t="shared" si="16"/>
        <v>42451</v>
      </c>
      <c r="D424" s="212" t="s">
        <v>948</v>
      </c>
      <c r="E424" s="35">
        <v>42451</v>
      </c>
      <c r="F424" s="144" t="s">
        <v>490</v>
      </c>
      <c r="G424" s="191" t="s">
        <v>221</v>
      </c>
      <c r="H424" s="198"/>
      <c r="I424" s="186"/>
      <c r="J424" s="186"/>
      <c r="K424" s="185"/>
      <c r="L424" s="186"/>
      <c r="M424" s="36">
        <v>12000000</v>
      </c>
      <c r="N424" s="37"/>
      <c r="O424" s="37" t="s">
        <v>34</v>
      </c>
      <c r="P424" s="47" t="str">
        <f>IF(AND('331-CT'!$F$5=TH!H424,OR(N424="331",O424="331")),"x","")</f>
        <v/>
      </c>
      <c r="Q424" s="47" t="str">
        <f>IF(AND(B424='111'!$L$11,OR($N424=$Q$7,$O424=$Q$7)),"x","")</f>
        <v/>
      </c>
      <c r="R424" s="47" t="str">
        <f>IF(AND($N424=$Q$7,$B424&lt;'111'!$L$11),"x","")</f>
        <v/>
      </c>
      <c r="S424" s="47" t="str">
        <f>IF(AND($O424=$Q$7,$B424&lt;'111'!$L$11),"x","")</f>
        <v>x</v>
      </c>
    </row>
    <row r="425" spans="1:19" ht="15.75" customHeight="1">
      <c r="A425" s="152" t="str">
        <f>IF(B425&lt;&gt;"",IF(AND(B425='IN-TC'!$S$4,OR(TH!N425="1111",TH!O425="1111")),TH!D425,""),"")</f>
        <v/>
      </c>
      <c r="B425" s="34">
        <f t="shared" si="15"/>
        <v>3</v>
      </c>
      <c r="C425" s="35">
        <f t="shared" si="16"/>
        <v>42451</v>
      </c>
      <c r="D425" s="212" t="s">
        <v>949</v>
      </c>
      <c r="E425" s="35">
        <v>42451</v>
      </c>
      <c r="F425" s="144" t="s">
        <v>491</v>
      </c>
      <c r="G425" s="191" t="s">
        <v>206</v>
      </c>
      <c r="H425" s="198" t="s">
        <v>827</v>
      </c>
      <c r="I425" s="186"/>
      <c r="J425" s="186"/>
      <c r="K425" s="185"/>
      <c r="L425" s="186"/>
      <c r="M425" s="36">
        <v>200000000</v>
      </c>
      <c r="N425" s="37" t="s">
        <v>8</v>
      </c>
      <c r="O425" s="37" t="s">
        <v>34</v>
      </c>
      <c r="P425" s="47" t="str">
        <f>IF(AND('331-CT'!$F$5=TH!H425,OR(N425="331",O425="331")),"x","")</f>
        <v/>
      </c>
      <c r="Q425" s="47" t="str">
        <f>IF(AND(B425='111'!$L$11,OR($N425=$Q$7,$O425=$Q$7)),"x","")</f>
        <v/>
      </c>
      <c r="R425" s="47" t="str">
        <f>IF(AND($N425=$Q$7,$B425&lt;'111'!$L$11),"x","")</f>
        <v/>
      </c>
      <c r="S425" s="47" t="str">
        <f>IF(AND($O425=$Q$7,$B425&lt;'111'!$L$11),"x","")</f>
        <v>x</v>
      </c>
    </row>
    <row r="426" spans="1:19" ht="15.75" customHeight="1">
      <c r="A426" s="152" t="str">
        <f>IF(B426&lt;&gt;"",IF(AND(B426='IN-TC'!$S$4,OR(TH!N426="1111",TH!O426="1111")),TH!D426,""),"")</f>
        <v/>
      </c>
      <c r="B426" s="34">
        <f t="shared" si="15"/>
        <v>3</v>
      </c>
      <c r="C426" s="35">
        <f t="shared" si="16"/>
        <v>42451</v>
      </c>
      <c r="D426" s="212" t="s">
        <v>950</v>
      </c>
      <c r="E426" s="35">
        <v>42451</v>
      </c>
      <c r="F426" s="144" t="s">
        <v>400</v>
      </c>
      <c r="G426" s="191" t="s">
        <v>111</v>
      </c>
      <c r="H426" s="198"/>
      <c r="I426" s="186"/>
      <c r="J426" s="186"/>
      <c r="K426" s="185"/>
      <c r="L426" s="186"/>
      <c r="M426" s="36">
        <v>250000</v>
      </c>
      <c r="N426" s="37"/>
      <c r="O426" s="37" t="s">
        <v>34</v>
      </c>
      <c r="P426" s="47" t="str">
        <f>IF(AND('331-CT'!$F$5=TH!H426,OR(N426="331",O426="331")),"x","")</f>
        <v/>
      </c>
      <c r="Q426" s="47" t="str">
        <f>IF(AND(B426='111'!$L$11,OR($N426=$Q$7,$O426=$Q$7)),"x","")</f>
        <v/>
      </c>
      <c r="R426" s="47" t="str">
        <f>IF(AND($N426=$Q$7,$B426&lt;'111'!$L$11),"x","")</f>
        <v/>
      </c>
      <c r="S426" s="47" t="str">
        <f>IF(AND($O426=$Q$7,$B426&lt;'111'!$L$11),"x","")</f>
        <v>x</v>
      </c>
    </row>
    <row r="427" spans="1:19" ht="15.75" customHeight="1">
      <c r="A427" s="152" t="str">
        <f>IF(B427&lt;&gt;"",IF(AND(B427='IN-TC'!$S$4,OR(TH!N427="1111",TH!O427="1111")),TH!D427,""),"")</f>
        <v/>
      </c>
      <c r="B427" s="34">
        <f t="shared" si="15"/>
        <v>3</v>
      </c>
      <c r="C427" s="35">
        <f t="shared" si="16"/>
        <v>42451</v>
      </c>
      <c r="D427" s="212" t="s">
        <v>951</v>
      </c>
      <c r="E427" s="35">
        <v>42451</v>
      </c>
      <c r="F427" s="144" t="s">
        <v>492</v>
      </c>
      <c r="G427" s="191" t="s">
        <v>208</v>
      </c>
      <c r="H427" s="198"/>
      <c r="I427" s="186"/>
      <c r="J427" s="186"/>
      <c r="K427" s="185"/>
      <c r="L427" s="186"/>
      <c r="M427" s="36">
        <v>964000</v>
      </c>
      <c r="N427" s="37"/>
      <c r="O427" s="37" t="s">
        <v>34</v>
      </c>
      <c r="P427" s="47" t="str">
        <f>IF(AND('331-CT'!$F$5=TH!H427,OR(N427="331",O427="331")),"x","")</f>
        <v/>
      </c>
      <c r="Q427" s="47" t="str">
        <f>IF(AND(B427='111'!$L$11,OR($N427=$Q$7,$O427=$Q$7)),"x","")</f>
        <v/>
      </c>
      <c r="R427" s="47" t="str">
        <f>IF(AND($N427=$Q$7,$B427&lt;'111'!$L$11),"x","")</f>
        <v/>
      </c>
      <c r="S427" s="47" t="str">
        <f>IF(AND($O427=$Q$7,$B427&lt;'111'!$L$11),"x","")</f>
        <v>x</v>
      </c>
    </row>
    <row r="428" spans="1:19" ht="15.75" customHeight="1">
      <c r="A428" s="152" t="str">
        <f>IF(B428&lt;&gt;"",IF(AND(B428='IN-TC'!$S$4,OR(TH!N428="1111",TH!O428="1111")),TH!D428,""),"")</f>
        <v/>
      </c>
      <c r="B428" s="34">
        <f t="shared" si="15"/>
        <v>3</v>
      </c>
      <c r="C428" s="35">
        <f t="shared" si="16"/>
        <v>42451</v>
      </c>
      <c r="D428" s="212" t="s">
        <v>952</v>
      </c>
      <c r="E428" s="35">
        <v>42451</v>
      </c>
      <c r="F428" s="144" t="s">
        <v>493</v>
      </c>
      <c r="G428" s="191"/>
      <c r="H428" s="198"/>
      <c r="I428" s="186"/>
      <c r="J428" s="186"/>
      <c r="K428" s="185"/>
      <c r="L428" s="186"/>
      <c r="M428" s="36">
        <v>2522000</v>
      </c>
      <c r="N428" s="37"/>
      <c r="O428" s="37" t="s">
        <v>34</v>
      </c>
      <c r="P428" s="47" t="str">
        <f>IF(AND('331-CT'!$F$5=TH!H428,OR(N428="331",O428="331")),"x","")</f>
        <v/>
      </c>
      <c r="Q428" s="47" t="str">
        <f>IF(AND(B428='111'!$L$11,OR($N428=$Q$7,$O428=$Q$7)),"x","")</f>
        <v/>
      </c>
      <c r="R428" s="47" t="str">
        <f>IF(AND($N428=$Q$7,$B428&lt;'111'!$L$11),"x","")</f>
        <v/>
      </c>
      <c r="S428" s="47" t="str">
        <f>IF(AND($O428=$Q$7,$B428&lt;'111'!$L$11),"x","")</f>
        <v>x</v>
      </c>
    </row>
    <row r="429" spans="1:19" ht="15.75" customHeight="1">
      <c r="A429" s="152" t="str">
        <f>IF(B429&lt;&gt;"",IF(AND(B429='IN-TC'!$S$4,OR(TH!N429="1111",TH!O429="1111")),TH!D429,""),"")</f>
        <v/>
      </c>
      <c r="B429" s="34">
        <f t="shared" si="15"/>
        <v>3</v>
      </c>
      <c r="C429" s="35">
        <f t="shared" si="16"/>
        <v>42451</v>
      </c>
      <c r="D429" s="212" t="s">
        <v>953</v>
      </c>
      <c r="E429" s="35">
        <v>42451</v>
      </c>
      <c r="F429" s="144" t="s">
        <v>494</v>
      </c>
      <c r="G429" s="191" t="s">
        <v>221</v>
      </c>
      <c r="H429" s="198"/>
      <c r="I429" s="186"/>
      <c r="J429" s="186"/>
      <c r="K429" s="185"/>
      <c r="L429" s="186"/>
      <c r="M429" s="36">
        <v>2925000</v>
      </c>
      <c r="N429" s="37"/>
      <c r="O429" s="37" t="s">
        <v>34</v>
      </c>
      <c r="P429" s="47" t="str">
        <f>IF(AND('331-CT'!$F$5=TH!H429,OR(N429="331",O429="331")),"x","")</f>
        <v/>
      </c>
      <c r="Q429" s="47" t="str">
        <f>IF(AND(B429='111'!$L$11,OR($N429=$Q$7,$O429=$Q$7)),"x","")</f>
        <v/>
      </c>
      <c r="R429" s="47" t="str">
        <f>IF(AND($N429=$Q$7,$B429&lt;'111'!$L$11),"x","")</f>
        <v/>
      </c>
      <c r="S429" s="47" t="str">
        <f>IF(AND($O429=$Q$7,$B429&lt;'111'!$L$11),"x","")</f>
        <v>x</v>
      </c>
    </row>
    <row r="430" spans="1:19" ht="15.75" customHeight="1">
      <c r="A430" s="152" t="str">
        <f>IF(B430&lt;&gt;"",IF(AND(B430='IN-TC'!$S$4,OR(TH!N430="1111",TH!O430="1111")),TH!D430,""),"")</f>
        <v/>
      </c>
      <c r="B430" s="34">
        <f t="shared" si="15"/>
        <v>3</v>
      </c>
      <c r="C430" s="35">
        <f t="shared" si="16"/>
        <v>42451</v>
      </c>
      <c r="D430" s="212" t="s">
        <v>954</v>
      </c>
      <c r="E430" s="35">
        <v>42451</v>
      </c>
      <c r="F430" s="144" t="s">
        <v>495</v>
      </c>
      <c r="G430" s="191" t="s">
        <v>202</v>
      </c>
      <c r="H430" s="198"/>
      <c r="I430" s="186"/>
      <c r="J430" s="186"/>
      <c r="K430" s="185"/>
      <c r="L430" s="186"/>
      <c r="M430" s="36">
        <v>1240000</v>
      </c>
      <c r="N430" s="37"/>
      <c r="O430" s="37" t="s">
        <v>34</v>
      </c>
      <c r="P430" s="47" t="str">
        <f>IF(AND('331-CT'!$F$5=TH!H430,OR(N430="331",O430="331")),"x","")</f>
        <v/>
      </c>
      <c r="Q430" s="47" t="str">
        <f>IF(AND(B430='111'!$L$11,OR($N430=$Q$7,$O430=$Q$7)),"x","")</f>
        <v/>
      </c>
      <c r="R430" s="47" t="str">
        <f>IF(AND($N430=$Q$7,$B430&lt;'111'!$L$11),"x","")</f>
        <v/>
      </c>
      <c r="S430" s="47" t="str">
        <f>IF(AND($O430=$Q$7,$B430&lt;'111'!$L$11),"x","")</f>
        <v>x</v>
      </c>
    </row>
    <row r="431" spans="1:19" ht="15.75" customHeight="1">
      <c r="A431" s="152" t="str">
        <f>IF(B431&lt;&gt;"",IF(AND(B431='IN-TC'!$S$4,OR(TH!N431="1111",TH!O431="1111")),TH!D431,""),"")</f>
        <v/>
      </c>
      <c r="B431" s="34">
        <f t="shared" si="15"/>
        <v>3</v>
      </c>
      <c r="C431" s="35">
        <f t="shared" si="16"/>
        <v>42451</v>
      </c>
      <c r="D431" s="212" t="s">
        <v>955</v>
      </c>
      <c r="E431" s="35">
        <v>42451</v>
      </c>
      <c r="F431" s="144" t="s">
        <v>496</v>
      </c>
      <c r="G431" s="191" t="s">
        <v>109</v>
      </c>
      <c r="H431" s="198"/>
      <c r="I431" s="186"/>
      <c r="J431" s="186"/>
      <c r="K431" s="185"/>
      <c r="L431" s="186"/>
      <c r="M431" s="36">
        <v>18700000</v>
      </c>
      <c r="N431" s="37"/>
      <c r="O431" s="37" t="s">
        <v>34</v>
      </c>
      <c r="P431" s="47" t="str">
        <f>IF(AND('331-CT'!$F$5=TH!H431,OR(N431="331",O431="331")),"x","")</f>
        <v/>
      </c>
      <c r="Q431" s="47" t="str">
        <f>IF(AND(B431='111'!$L$11,OR($N431=$Q$7,$O431=$Q$7)),"x","")</f>
        <v/>
      </c>
      <c r="R431" s="47" t="str">
        <f>IF(AND($N431=$Q$7,$B431&lt;'111'!$L$11),"x","")</f>
        <v/>
      </c>
      <c r="S431" s="47" t="str">
        <f>IF(AND($O431=$Q$7,$B431&lt;'111'!$L$11),"x","")</f>
        <v>x</v>
      </c>
    </row>
    <row r="432" spans="1:19" ht="15.75" customHeight="1">
      <c r="A432" s="152" t="str">
        <f>IF(B432&lt;&gt;"",IF(AND(B432='IN-TC'!$S$4,OR(TH!N432="1111",TH!O432="1111")),TH!D432,""),"")</f>
        <v/>
      </c>
      <c r="B432" s="34">
        <f t="shared" si="15"/>
        <v>3</v>
      </c>
      <c r="C432" s="35">
        <f t="shared" si="16"/>
        <v>42451</v>
      </c>
      <c r="D432" s="212" t="s">
        <v>956</v>
      </c>
      <c r="E432" s="35">
        <v>42451</v>
      </c>
      <c r="F432" s="144" t="s">
        <v>497</v>
      </c>
      <c r="G432" s="191" t="s">
        <v>111</v>
      </c>
      <c r="H432" s="198"/>
      <c r="I432" s="186"/>
      <c r="J432" s="186"/>
      <c r="K432" s="185"/>
      <c r="L432" s="186"/>
      <c r="M432" s="36">
        <v>544000</v>
      </c>
      <c r="N432" s="37"/>
      <c r="O432" s="37" t="s">
        <v>34</v>
      </c>
      <c r="P432" s="47" t="str">
        <f>IF(AND('331-CT'!$F$5=TH!H432,OR(N432="331",O432="331")),"x","")</f>
        <v/>
      </c>
      <c r="Q432" s="47" t="str">
        <f>IF(AND(B432='111'!$L$11,OR($N432=$Q$7,$O432=$Q$7)),"x","")</f>
        <v/>
      </c>
      <c r="R432" s="47" t="str">
        <f>IF(AND($N432=$Q$7,$B432&lt;'111'!$L$11),"x","")</f>
        <v/>
      </c>
      <c r="S432" s="47" t="str">
        <f>IF(AND($O432=$Q$7,$B432&lt;'111'!$L$11),"x","")</f>
        <v>x</v>
      </c>
    </row>
    <row r="433" spans="1:19" ht="15.75" customHeight="1">
      <c r="A433" s="152" t="str">
        <f>IF(B433&lt;&gt;"",IF(AND(B433='IN-TC'!$S$4,OR(TH!N433="1111",TH!O433="1111")),TH!D433,""),"")</f>
        <v/>
      </c>
      <c r="B433" s="34">
        <f t="shared" si="15"/>
        <v>3</v>
      </c>
      <c r="C433" s="35">
        <f t="shared" si="16"/>
        <v>42451</v>
      </c>
      <c r="D433" s="212" t="s">
        <v>957</v>
      </c>
      <c r="E433" s="35">
        <v>42451</v>
      </c>
      <c r="F433" s="144" t="s">
        <v>498</v>
      </c>
      <c r="G433" s="191" t="s">
        <v>207</v>
      </c>
      <c r="H433" s="198"/>
      <c r="I433" s="186"/>
      <c r="J433" s="186"/>
      <c r="K433" s="185"/>
      <c r="L433" s="186"/>
      <c r="M433" s="36">
        <v>934000</v>
      </c>
      <c r="N433" s="37"/>
      <c r="O433" s="37" t="s">
        <v>34</v>
      </c>
      <c r="P433" s="47" t="str">
        <f>IF(AND('331-CT'!$F$5=TH!H433,OR(N433="331",O433="331")),"x","")</f>
        <v/>
      </c>
      <c r="Q433" s="47" t="str">
        <f>IF(AND(B433='111'!$L$11,OR($N433=$Q$7,$O433=$Q$7)),"x","")</f>
        <v/>
      </c>
      <c r="R433" s="47" t="str">
        <f>IF(AND($N433=$Q$7,$B433&lt;'111'!$L$11),"x","")</f>
        <v/>
      </c>
      <c r="S433" s="47" t="str">
        <f>IF(AND($O433=$Q$7,$B433&lt;'111'!$L$11),"x","")</f>
        <v>x</v>
      </c>
    </row>
    <row r="434" spans="1:19" ht="15.75" customHeight="1">
      <c r="A434" s="152" t="str">
        <f>IF(B434&lt;&gt;"",IF(AND(B434='IN-TC'!$S$4,OR(TH!N434="1111",TH!O434="1111")),TH!D434,""),"")</f>
        <v/>
      </c>
      <c r="B434" s="34">
        <f t="shared" si="15"/>
        <v>3</v>
      </c>
      <c r="C434" s="35">
        <f t="shared" si="16"/>
        <v>42451</v>
      </c>
      <c r="D434" s="212" t="s">
        <v>958</v>
      </c>
      <c r="E434" s="35">
        <v>42451</v>
      </c>
      <c r="F434" s="144" t="s">
        <v>499</v>
      </c>
      <c r="G434" s="191" t="s">
        <v>220</v>
      </c>
      <c r="H434" s="198"/>
      <c r="I434" s="186"/>
      <c r="J434" s="186"/>
      <c r="K434" s="185"/>
      <c r="L434" s="186"/>
      <c r="M434" s="36">
        <v>18921000</v>
      </c>
      <c r="N434" s="37"/>
      <c r="O434" s="37" t="s">
        <v>34</v>
      </c>
      <c r="P434" s="47" t="str">
        <f>IF(AND('331-CT'!$F$5=TH!H434,OR(N434="331",O434="331")),"x","")</f>
        <v/>
      </c>
      <c r="Q434" s="47" t="str">
        <f>IF(AND(B434='111'!$L$11,OR($N434=$Q$7,$O434=$Q$7)),"x","")</f>
        <v/>
      </c>
      <c r="R434" s="47" t="str">
        <f>IF(AND($N434=$Q$7,$B434&lt;'111'!$L$11),"x","")</f>
        <v/>
      </c>
      <c r="S434" s="47" t="str">
        <f>IF(AND($O434=$Q$7,$B434&lt;'111'!$L$11),"x","")</f>
        <v>x</v>
      </c>
    </row>
    <row r="435" spans="1:19" ht="15.75" customHeight="1">
      <c r="A435" s="152" t="str">
        <f>IF(B435&lt;&gt;"",IF(AND(B435='IN-TC'!$S$4,OR(TH!N435="1111",TH!O435="1111")),TH!D435,""),"")</f>
        <v/>
      </c>
      <c r="B435" s="34">
        <f t="shared" si="15"/>
        <v>3</v>
      </c>
      <c r="C435" s="35">
        <f t="shared" si="16"/>
        <v>42451</v>
      </c>
      <c r="D435" s="212"/>
      <c r="E435" s="35">
        <v>42451</v>
      </c>
      <c r="F435" s="144" t="s">
        <v>1466</v>
      </c>
      <c r="G435" s="191" t="s">
        <v>204</v>
      </c>
      <c r="H435" s="198" t="s">
        <v>832</v>
      </c>
      <c r="I435" s="186">
        <v>2903</v>
      </c>
      <c r="J435" s="186">
        <v>15000</v>
      </c>
      <c r="K435" s="185"/>
      <c r="L435" s="186"/>
      <c r="M435" s="36">
        <f>ROUND(I435*J435,0)</f>
        <v>43545000</v>
      </c>
      <c r="N435" s="37" t="s">
        <v>1443</v>
      </c>
      <c r="O435" s="37" t="s">
        <v>8</v>
      </c>
      <c r="P435" s="47" t="str">
        <f>IF(AND('331-CT'!$F$5=TH!H435,OR(N435="331",O435="331")),"x","")</f>
        <v/>
      </c>
      <c r="Q435" s="47" t="str">
        <f>IF(AND(B435='111'!$L$11,OR($N435=$Q$7,$O435=$Q$7)),"x","")</f>
        <v/>
      </c>
      <c r="R435" s="47" t="str">
        <f>IF(AND($N435=$Q$7,$B435&lt;'111'!$L$11),"x","")</f>
        <v/>
      </c>
      <c r="S435" s="47" t="str">
        <f>IF(AND($O435=$Q$7,$B435&lt;'111'!$L$11),"x","")</f>
        <v/>
      </c>
    </row>
    <row r="436" spans="1:19" ht="15.75" customHeight="1">
      <c r="A436" s="152" t="str">
        <f>IF(B436&lt;&gt;"",IF(AND(B436='IN-TC'!$S$4,OR(TH!N436="1111",TH!O436="1111")),TH!D436,""),"")</f>
        <v/>
      </c>
      <c r="B436" s="34">
        <f t="shared" si="15"/>
        <v>3</v>
      </c>
      <c r="C436" s="35">
        <f t="shared" si="16"/>
        <v>42453</v>
      </c>
      <c r="D436" s="212" t="s">
        <v>959</v>
      </c>
      <c r="E436" s="35">
        <v>42453</v>
      </c>
      <c r="F436" s="144" t="s">
        <v>500</v>
      </c>
      <c r="G436" s="191" t="s">
        <v>111</v>
      </c>
      <c r="H436" s="198"/>
      <c r="I436" s="186"/>
      <c r="J436" s="186"/>
      <c r="K436" s="185"/>
      <c r="L436" s="186"/>
      <c r="M436" s="36">
        <v>370000</v>
      </c>
      <c r="N436" s="37"/>
      <c r="O436" s="37" t="s">
        <v>34</v>
      </c>
      <c r="P436" s="47" t="str">
        <f>IF(AND('331-CT'!$F$5=TH!H436,OR(N436="331",O436="331")),"x","")</f>
        <v/>
      </c>
      <c r="Q436" s="47" t="str">
        <f>IF(AND(B436='111'!$L$11,OR($N436=$Q$7,$O436=$Q$7)),"x","")</f>
        <v/>
      </c>
      <c r="R436" s="47" t="str">
        <f>IF(AND($N436=$Q$7,$B436&lt;'111'!$L$11),"x","")</f>
        <v/>
      </c>
      <c r="S436" s="47" t="str">
        <f>IF(AND($O436=$Q$7,$B436&lt;'111'!$L$11),"x","")</f>
        <v>x</v>
      </c>
    </row>
    <row r="437" spans="1:19" ht="15.75" customHeight="1">
      <c r="A437" s="152" t="str">
        <f>IF(B437&lt;&gt;"",IF(AND(B437='IN-TC'!$S$4,OR(TH!N437="1111",TH!O437="1111")),TH!D437,""),"")</f>
        <v/>
      </c>
      <c r="B437" s="34">
        <f t="shared" si="15"/>
        <v>3</v>
      </c>
      <c r="C437" s="35">
        <f t="shared" si="16"/>
        <v>42453</v>
      </c>
      <c r="D437" s="212" t="s">
        <v>960</v>
      </c>
      <c r="E437" s="35">
        <v>42453</v>
      </c>
      <c r="F437" s="144" t="s">
        <v>501</v>
      </c>
      <c r="G437" s="191" t="s">
        <v>209</v>
      </c>
      <c r="H437" s="198"/>
      <c r="I437" s="186"/>
      <c r="J437" s="186"/>
      <c r="K437" s="185"/>
      <c r="L437" s="186"/>
      <c r="M437" s="36">
        <v>303000</v>
      </c>
      <c r="N437" s="37"/>
      <c r="O437" s="37" t="s">
        <v>34</v>
      </c>
      <c r="P437" s="47" t="str">
        <f>IF(AND('331-CT'!$F$5=TH!H437,OR(N437="331",O437="331")),"x","")</f>
        <v/>
      </c>
      <c r="Q437" s="47" t="str">
        <f>IF(AND(B437='111'!$L$11,OR($N437=$Q$7,$O437=$Q$7)),"x","")</f>
        <v/>
      </c>
      <c r="R437" s="47" t="str">
        <f>IF(AND($N437=$Q$7,$B437&lt;'111'!$L$11),"x","")</f>
        <v/>
      </c>
      <c r="S437" s="47" t="str">
        <f>IF(AND($O437=$Q$7,$B437&lt;'111'!$L$11),"x","")</f>
        <v>x</v>
      </c>
    </row>
    <row r="438" spans="1:19" ht="15.75" customHeight="1">
      <c r="A438" s="152" t="str">
        <f>IF(B438&lt;&gt;"",IF(AND(B438='IN-TC'!$S$4,OR(TH!N438="1111",TH!O438="1111")),TH!D438,""),"")</f>
        <v/>
      </c>
      <c r="B438" s="34">
        <f t="shared" si="15"/>
        <v>3</v>
      </c>
      <c r="C438" s="35">
        <f t="shared" si="16"/>
        <v>42453</v>
      </c>
      <c r="D438" s="212" t="s">
        <v>961</v>
      </c>
      <c r="E438" s="35">
        <v>42453</v>
      </c>
      <c r="F438" s="144" t="s">
        <v>502</v>
      </c>
      <c r="G438" s="191" t="s">
        <v>221</v>
      </c>
      <c r="H438" s="198"/>
      <c r="I438" s="186"/>
      <c r="J438" s="186"/>
      <c r="K438" s="185"/>
      <c r="L438" s="186"/>
      <c r="M438" s="36">
        <v>711000</v>
      </c>
      <c r="N438" s="37"/>
      <c r="O438" s="37" t="s">
        <v>34</v>
      </c>
      <c r="P438" s="47" t="str">
        <f>IF(AND('331-CT'!$F$5=TH!H438,OR(N438="331",O438="331")),"x","")</f>
        <v/>
      </c>
      <c r="Q438" s="47" t="str">
        <f>IF(AND(B438='111'!$L$11,OR($N438=$Q$7,$O438=$Q$7)),"x","")</f>
        <v/>
      </c>
      <c r="R438" s="47" t="str">
        <f>IF(AND($N438=$Q$7,$B438&lt;'111'!$L$11),"x","")</f>
        <v/>
      </c>
      <c r="S438" s="47" t="str">
        <f>IF(AND($O438=$Q$7,$B438&lt;'111'!$L$11),"x","")</f>
        <v>x</v>
      </c>
    </row>
    <row r="439" spans="1:19" ht="15.75" customHeight="1">
      <c r="A439" s="152" t="str">
        <f>IF(B439&lt;&gt;"",IF(AND(B439='IN-TC'!$S$4,OR(TH!N439="1111",TH!O439="1111")),TH!D439,""),"")</f>
        <v/>
      </c>
      <c r="B439" s="34">
        <f t="shared" si="15"/>
        <v>3</v>
      </c>
      <c r="C439" s="35">
        <f t="shared" si="16"/>
        <v>42453</v>
      </c>
      <c r="D439" s="212"/>
      <c r="E439" s="35">
        <v>42453</v>
      </c>
      <c r="F439" s="144" t="s">
        <v>1466</v>
      </c>
      <c r="G439" s="191"/>
      <c r="H439" s="198" t="s">
        <v>840</v>
      </c>
      <c r="I439" s="186">
        <v>4608</v>
      </c>
      <c r="J439" s="186">
        <v>14000</v>
      </c>
      <c r="K439" s="185"/>
      <c r="L439" s="186"/>
      <c r="M439" s="36">
        <f>ROUND(I439*J439,0)</f>
        <v>64512000</v>
      </c>
      <c r="N439" s="37" t="s">
        <v>1443</v>
      </c>
      <c r="O439" s="37" t="s">
        <v>8</v>
      </c>
      <c r="P439" s="47" t="str">
        <f>IF(AND('331-CT'!$F$5=TH!H439,OR(N439="331",O439="331")),"x","")</f>
        <v/>
      </c>
      <c r="Q439" s="47" t="str">
        <f>IF(AND(B439='111'!$L$11,OR($N439=$Q$7,$O439=$Q$7)),"x","")</f>
        <v/>
      </c>
      <c r="R439" s="47" t="str">
        <f>IF(AND($N439=$Q$7,$B439&lt;'111'!$L$11),"x","")</f>
        <v/>
      </c>
      <c r="S439" s="47" t="str">
        <f>IF(AND($O439=$Q$7,$B439&lt;'111'!$L$11),"x","")</f>
        <v/>
      </c>
    </row>
    <row r="440" spans="1:19" ht="15.75" customHeight="1">
      <c r="A440" s="152" t="str">
        <f>IF(B440&lt;&gt;"",IF(AND(B440='IN-TC'!$S$4,OR(TH!N440="1111",TH!O440="1111")),TH!D440,""),"")</f>
        <v/>
      </c>
      <c r="B440" s="34">
        <f t="shared" si="15"/>
        <v>3</v>
      </c>
      <c r="C440" s="35">
        <f t="shared" si="16"/>
        <v>42454</v>
      </c>
      <c r="D440" s="212" t="s">
        <v>962</v>
      </c>
      <c r="E440" s="35">
        <v>42454</v>
      </c>
      <c r="F440" s="144" t="s">
        <v>503</v>
      </c>
      <c r="G440" s="191" t="s">
        <v>204</v>
      </c>
      <c r="H440" s="198"/>
      <c r="I440" s="186"/>
      <c r="J440" s="186"/>
      <c r="K440" s="185"/>
      <c r="L440" s="186"/>
      <c r="M440" s="36">
        <v>17778000</v>
      </c>
      <c r="N440" s="37"/>
      <c r="O440" s="37" t="s">
        <v>34</v>
      </c>
      <c r="P440" s="47" t="str">
        <f>IF(AND('331-CT'!$F$5=TH!H440,OR(N440="331",O440="331")),"x","")</f>
        <v/>
      </c>
      <c r="Q440" s="47" t="str">
        <f>IF(AND(B440='111'!$L$11,OR($N440=$Q$7,$O440=$Q$7)),"x","")</f>
        <v/>
      </c>
      <c r="R440" s="47" t="str">
        <f>IF(AND($N440=$Q$7,$B440&lt;'111'!$L$11),"x","")</f>
        <v/>
      </c>
      <c r="S440" s="47" t="str">
        <f>IF(AND($O440=$Q$7,$B440&lt;'111'!$L$11),"x","")</f>
        <v>x</v>
      </c>
    </row>
    <row r="441" spans="1:19" ht="15.75" customHeight="1">
      <c r="A441" s="152" t="str">
        <f>IF(B441&lt;&gt;"",IF(AND(B441='IN-TC'!$S$4,OR(TH!N441="1111",TH!O441="1111")),TH!D441,""),"")</f>
        <v/>
      </c>
      <c r="B441" s="34">
        <f t="shared" si="15"/>
        <v>3</v>
      </c>
      <c r="C441" s="35">
        <f t="shared" si="16"/>
        <v>42454</v>
      </c>
      <c r="D441" s="212" t="s">
        <v>963</v>
      </c>
      <c r="E441" s="35">
        <v>42454</v>
      </c>
      <c r="F441" s="144" t="s">
        <v>504</v>
      </c>
      <c r="G441" s="191" t="s">
        <v>111</v>
      </c>
      <c r="H441" s="198"/>
      <c r="I441" s="186"/>
      <c r="J441" s="186"/>
      <c r="K441" s="185"/>
      <c r="L441" s="186"/>
      <c r="M441" s="36">
        <v>4000000</v>
      </c>
      <c r="N441" s="37"/>
      <c r="O441" s="37" t="s">
        <v>34</v>
      </c>
      <c r="P441" s="47" t="str">
        <f>IF(AND('331-CT'!$F$5=TH!H441,OR(N441="331",O441="331")),"x","")</f>
        <v/>
      </c>
      <c r="Q441" s="47" t="str">
        <f>IF(AND(B441='111'!$L$11,OR($N441=$Q$7,$O441=$Q$7)),"x","")</f>
        <v/>
      </c>
      <c r="R441" s="47" t="str">
        <f>IF(AND($N441=$Q$7,$B441&lt;'111'!$L$11),"x","")</f>
        <v/>
      </c>
      <c r="S441" s="47" t="str">
        <f>IF(AND($O441=$Q$7,$B441&lt;'111'!$L$11),"x","")</f>
        <v>x</v>
      </c>
    </row>
    <row r="442" spans="1:19" ht="15.75" customHeight="1">
      <c r="A442" s="152" t="str">
        <f>IF(B442&lt;&gt;"",IF(AND(B442='IN-TC'!$S$4,OR(TH!N442="1111",TH!O442="1111")),TH!D442,""),"")</f>
        <v/>
      </c>
      <c r="B442" s="34">
        <f t="shared" si="15"/>
        <v>3</v>
      </c>
      <c r="C442" s="35">
        <f t="shared" si="16"/>
        <v>42454</v>
      </c>
      <c r="D442" s="212" t="s">
        <v>964</v>
      </c>
      <c r="E442" s="35">
        <v>42454</v>
      </c>
      <c r="F442" s="144" t="s">
        <v>505</v>
      </c>
      <c r="G442" s="191" t="s">
        <v>111</v>
      </c>
      <c r="H442" s="198"/>
      <c r="I442" s="186"/>
      <c r="J442" s="186"/>
      <c r="K442" s="185"/>
      <c r="L442" s="186"/>
      <c r="M442" s="36">
        <v>290000</v>
      </c>
      <c r="N442" s="37"/>
      <c r="O442" s="37" t="s">
        <v>34</v>
      </c>
      <c r="P442" s="47" t="str">
        <f>IF(AND('331-CT'!$F$5=TH!H442,OR(N442="331",O442="331")),"x","")</f>
        <v/>
      </c>
      <c r="Q442" s="47" t="str">
        <f>IF(AND(B442='111'!$L$11,OR($N442=$Q$7,$O442=$Q$7)),"x","")</f>
        <v/>
      </c>
      <c r="R442" s="47" t="str">
        <f>IF(AND($N442=$Q$7,$B442&lt;'111'!$L$11),"x","")</f>
        <v/>
      </c>
      <c r="S442" s="47" t="str">
        <f>IF(AND($O442=$Q$7,$B442&lt;'111'!$L$11),"x","")</f>
        <v>x</v>
      </c>
    </row>
    <row r="443" spans="1:19" ht="15.75" customHeight="1">
      <c r="A443" s="152" t="str">
        <f>IF(B443&lt;&gt;"",IF(AND(B443='IN-TC'!$S$4,OR(TH!N443="1111",TH!O443="1111")),TH!D443,""),"")</f>
        <v/>
      </c>
      <c r="B443" s="34">
        <f t="shared" si="15"/>
        <v>3</v>
      </c>
      <c r="C443" s="35">
        <f t="shared" si="16"/>
        <v>42457</v>
      </c>
      <c r="D443" s="212" t="s">
        <v>965</v>
      </c>
      <c r="E443" s="35">
        <v>42457</v>
      </c>
      <c r="F443" s="144" t="s">
        <v>506</v>
      </c>
      <c r="G443" s="191" t="s">
        <v>112</v>
      </c>
      <c r="H443" s="198"/>
      <c r="I443" s="186"/>
      <c r="J443" s="186"/>
      <c r="K443" s="185"/>
      <c r="L443" s="186"/>
      <c r="M443" s="36">
        <v>10000000</v>
      </c>
      <c r="N443" s="37"/>
      <c r="O443" s="37" t="s">
        <v>34</v>
      </c>
      <c r="P443" s="47" t="str">
        <f>IF(AND('331-CT'!$F$5=TH!H443,OR(N443="331",O443="331")),"x","")</f>
        <v/>
      </c>
      <c r="Q443" s="47" t="str">
        <f>IF(AND(B443='111'!$L$11,OR($N443=$Q$7,$O443=$Q$7)),"x","")</f>
        <v/>
      </c>
      <c r="R443" s="47" t="str">
        <f>IF(AND($N443=$Q$7,$B443&lt;'111'!$L$11),"x","")</f>
        <v/>
      </c>
      <c r="S443" s="47" t="str">
        <f>IF(AND($O443=$Q$7,$B443&lt;'111'!$L$11),"x","")</f>
        <v>x</v>
      </c>
    </row>
    <row r="444" spans="1:19" ht="15.75" customHeight="1">
      <c r="A444" s="152" t="str">
        <f>IF(B444&lt;&gt;"",IF(AND(B444='IN-TC'!$S$4,OR(TH!N444="1111",TH!O444="1111")),TH!D444,""),"")</f>
        <v/>
      </c>
      <c r="B444" s="34">
        <f t="shared" si="15"/>
        <v>3</v>
      </c>
      <c r="C444" s="35">
        <f t="shared" si="16"/>
        <v>42457</v>
      </c>
      <c r="D444" s="212" t="s">
        <v>966</v>
      </c>
      <c r="E444" s="35">
        <v>42457</v>
      </c>
      <c r="F444" s="144" t="s">
        <v>507</v>
      </c>
      <c r="G444" s="191" t="s">
        <v>207</v>
      </c>
      <c r="H444" s="198"/>
      <c r="I444" s="186"/>
      <c r="J444" s="186"/>
      <c r="K444" s="185"/>
      <c r="L444" s="186"/>
      <c r="M444" s="36">
        <v>3995000</v>
      </c>
      <c r="N444" s="37"/>
      <c r="O444" s="37" t="s">
        <v>34</v>
      </c>
      <c r="P444" s="47" t="str">
        <f>IF(AND('331-CT'!$F$5=TH!H444,OR(N444="331",O444="331")),"x","")</f>
        <v/>
      </c>
      <c r="Q444" s="47" t="str">
        <f>IF(AND(B444='111'!$L$11,OR($N444=$Q$7,$O444=$Q$7)),"x","")</f>
        <v/>
      </c>
      <c r="R444" s="47" t="str">
        <f>IF(AND($N444=$Q$7,$B444&lt;'111'!$L$11),"x","")</f>
        <v/>
      </c>
      <c r="S444" s="47" t="str">
        <f>IF(AND($O444=$Q$7,$B444&lt;'111'!$L$11),"x","")</f>
        <v>x</v>
      </c>
    </row>
    <row r="445" spans="1:19" ht="15.75" customHeight="1">
      <c r="A445" s="152" t="str">
        <f>IF(B445&lt;&gt;"",IF(AND(B445='IN-TC'!$S$4,OR(TH!N445="1111",TH!O445="1111")),TH!D445,""),"")</f>
        <v/>
      </c>
      <c r="B445" s="34">
        <f t="shared" si="15"/>
        <v>3</v>
      </c>
      <c r="C445" s="35">
        <f t="shared" si="16"/>
        <v>42457</v>
      </c>
      <c r="D445" s="212" t="s">
        <v>967</v>
      </c>
      <c r="E445" s="35">
        <v>42457</v>
      </c>
      <c r="F445" s="144" t="s">
        <v>508</v>
      </c>
      <c r="G445" s="191" t="s">
        <v>111</v>
      </c>
      <c r="H445" s="198"/>
      <c r="I445" s="186"/>
      <c r="J445" s="186"/>
      <c r="K445" s="185"/>
      <c r="L445" s="186"/>
      <c r="M445" s="36">
        <v>2300000</v>
      </c>
      <c r="N445" s="37"/>
      <c r="O445" s="37" t="s">
        <v>34</v>
      </c>
      <c r="P445" s="47" t="str">
        <f>IF(AND('331-CT'!$F$5=TH!H445,OR(N445="331",O445="331")),"x","")</f>
        <v/>
      </c>
      <c r="Q445" s="47" t="str">
        <f>IF(AND(B445='111'!$L$11,OR($N445=$Q$7,$O445=$Q$7)),"x","")</f>
        <v/>
      </c>
      <c r="R445" s="47" t="str">
        <f>IF(AND($N445=$Q$7,$B445&lt;'111'!$L$11),"x","")</f>
        <v/>
      </c>
      <c r="S445" s="47" t="str">
        <f>IF(AND($O445=$Q$7,$B445&lt;'111'!$L$11),"x","")</f>
        <v>x</v>
      </c>
    </row>
    <row r="446" spans="1:19" ht="15.75" customHeight="1">
      <c r="A446" s="152" t="str">
        <f>IF(B446&lt;&gt;"",IF(AND(B446='IN-TC'!$S$4,OR(TH!N446="1111",TH!O446="1111")),TH!D446,""),"")</f>
        <v/>
      </c>
      <c r="B446" s="34">
        <f t="shared" si="15"/>
        <v>3</v>
      </c>
      <c r="C446" s="35">
        <f t="shared" si="16"/>
        <v>42457</v>
      </c>
      <c r="D446" s="212" t="s">
        <v>968</v>
      </c>
      <c r="E446" s="35">
        <v>42457</v>
      </c>
      <c r="F446" s="144" t="s">
        <v>509</v>
      </c>
      <c r="G446" s="191" t="s">
        <v>207</v>
      </c>
      <c r="H446" s="198"/>
      <c r="I446" s="186"/>
      <c r="J446" s="186"/>
      <c r="K446" s="185"/>
      <c r="L446" s="186"/>
      <c r="M446" s="36">
        <v>500000</v>
      </c>
      <c r="N446" s="37"/>
      <c r="O446" s="37" t="s">
        <v>34</v>
      </c>
      <c r="P446" s="47" t="str">
        <f>IF(AND('331-CT'!$F$5=TH!H446,OR(N446="331",O446="331")),"x","")</f>
        <v/>
      </c>
      <c r="Q446" s="47" t="str">
        <f>IF(AND(B446='111'!$L$11,OR($N446=$Q$7,$O446=$Q$7)),"x","")</f>
        <v/>
      </c>
      <c r="R446" s="47" t="str">
        <f>IF(AND($N446=$Q$7,$B446&lt;'111'!$L$11),"x","")</f>
        <v/>
      </c>
      <c r="S446" s="47" t="str">
        <f>IF(AND($O446=$Q$7,$B446&lt;'111'!$L$11),"x","")</f>
        <v>x</v>
      </c>
    </row>
    <row r="447" spans="1:19" ht="15.75" customHeight="1">
      <c r="A447" s="152" t="str">
        <f>IF(B447&lt;&gt;"",IF(AND(B447='IN-TC'!$S$4,OR(TH!N447="1111",TH!O447="1111")),TH!D447,""),"")</f>
        <v/>
      </c>
      <c r="B447" s="34">
        <f t="shared" si="15"/>
        <v>3</v>
      </c>
      <c r="C447" s="35">
        <f t="shared" si="16"/>
        <v>42457</v>
      </c>
      <c r="D447" s="212" t="s">
        <v>969</v>
      </c>
      <c r="E447" s="35">
        <v>42457</v>
      </c>
      <c r="F447" s="144" t="s">
        <v>1385</v>
      </c>
      <c r="G447" s="191" t="s">
        <v>203</v>
      </c>
      <c r="H447" s="198" t="s">
        <v>1414</v>
      </c>
      <c r="I447" s="186"/>
      <c r="J447" s="186"/>
      <c r="K447" s="185"/>
      <c r="L447" s="186"/>
      <c r="M447" s="36">
        <v>6017000</v>
      </c>
      <c r="N447" s="37" t="s">
        <v>814</v>
      </c>
      <c r="O447" s="37" t="s">
        <v>34</v>
      </c>
      <c r="P447" s="47" t="str">
        <f>IF(AND('331-CT'!$F$5=TH!H447,OR(N447="331",O447="331")),"x","")</f>
        <v/>
      </c>
      <c r="Q447" s="47" t="str">
        <f>IF(AND(B447='111'!$L$11,OR($N447=$Q$7,$O447=$Q$7)),"x","")</f>
        <v/>
      </c>
      <c r="R447" s="47" t="str">
        <f>IF(AND($N447=$Q$7,$B447&lt;'111'!$L$11),"x","")</f>
        <v/>
      </c>
      <c r="S447" s="47" t="str">
        <f>IF(AND($O447=$Q$7,$B447&lt;'111'!$L$11),"x","")</f>
        <v>x</v>
      </c>
    </row>
    <row r="448" spans="1:19" ht="15.75" customHeight="1">
      <c r="A448" s="152" t="str">
        <f>IF(B448&lt;&gt;"",IF(AND(B448='IN-TC'!$S$4,OR(TH!N448="1111",TH!O448="1111")),TH!D448,""),"")</f>
        <v/>
      </c>
      <c r="B448" s="34">
        <f t="shared" si="15"/>
        <v>3</v>
      </c>
      <c r="C448" s="35">
        <f t="shared" si="16"/>
        <v>42457</v>
      </c>
      <c r="D448" s="212" t="s">
        <v>970</v>
      </c>
      <c r="E448" s="35">
        <v>42457</v>
      </c>
      <c r="F448" s="144" t="s">
        <v>510</v>
      </c>
      <c r="G448" s="191" t="s">
        <v>209</v>
      </c>
      <c r="H448" s="198"/>
      <c r="I448" s="186"/>
      <c r="J448" s="186"/>
      <c r="K448" s="185"/>
      <c r="L448" s="186"/>
      <c r="M448" s="36">
        <v>2045000</v>
      </c>
      <c r="N448" s="37"/>
      <c r="O448" s="37" t="s">
        <v>34</v>
      </c>
      <c r="P448" s="47" t="str">
        <f>IF(AND('331-CT'!$F$5=TH!H448,OR(N448="331",O448="331")),"x","")</f>
        <v/>
      </c>
      <c r="Q448" s="47" t="str">
        <f>IF(AND(B448='111'!$L$11,OR($N448=$Q$7,$O448=$Q$7)),"x","")</f>
        <v/>
      </c>
      <c r="R448" s="47" t="str">
        <f>IF(AND($N448=$Q$7,$B448&lt;'111'!$L$11),"x","")</f>
        <v/>
      </c>
      <c r="S448" s="47" t="str">
        <f>IF(AND($O448=$Q$7,$B448&lt;'111'!$L$11),"x","")</f>
        <v>x</v>
      </c>
    </row>
    <row r="449" spans="1:19" ht="15.75" customHeight="1">
      <c r="A449" s="152" t="str">
        <f>IF(B449&lt;&gt;"",IF(AND(B449='IN-TC'!$S$4,OR(TH!N449="1111",TH!O449="1111")),TH!D449,""),"")</f>
        <v/>
      </c>
      <c r="B449" s="34">
        <f t="shared" si="15"/>
        <v>3</v>
      </c>
      <c r="C449" s="35">
        <f t="shared" si="16"/>
        <v>42457</v>
      </c>
      <c r="D449" s="212" t="s">
        <v>971</v>
      </c>
      <c r="E449" s="35">
        <v>42457</v>
      </c>
      <c r="F449" s="144" t="s">
        <v>511</v>
      </c>
      <c r="G449" s="191" t="s">
        <v>111</v>
      </c>
      <c r="H449" s="198"/>
      <c r="I449" s="186"/>
      <c r="J449" s="186"/>
      <c r="K449" s="185"/>
      <c r="L449" s="186"/>
      <c r="M449" s="36">
        <v>100000</v>
      </c>
      <c r="N449" s="37"/>
      <c r="O449" s="37" t="s">
        <v>34</v>
      </c>
      <c r="P449" s="47" t="str">
        <f>IF(AND('331-CT'!$F$5=TH!H449,OR(N449="331",O449="331")),"x","")</f>
        <v/>
      </c>
      <c r="Q449" s="47" t="str">
        <f>IF(AND(B449='111'!$L$11,OR($N449=$Q$7,$O449=$Q$7)),"x","")</f>
        <v/>
      </c>
      <c r="R449" s="47" t="str">
        <f>IF(AND($N449=$Q$7,$B449&lt;'111'!$L$11),"x","")</f>
        <v/>
      </c>
      <c r="S449" s="47" t="str">
        <f>IF(AND($O449=$Q$7,$B449&lt;'111'!$L$11),"x","")</f>
        <v>x</v>
      </c>
    </row>
    <row r="450" spans="1:19" ht="15.75" customHeight="1">
      <c r="A450" s="152" t="str">
        <f>IF(B450&lt;&gt;"",IF(AND(B450='IN-TC'!$S$4,OR(TH!N450="1111",TH!O450="1111")),TH!D450,""),"")</f>
        <v/>
      </c>
      <c r="B450" s="34">
        <f t="shared" si="15"/>
        <v>3</v>
      </c>
      <c r="C450" s="35">
        <f t="shared" si="16"/>
        <v>42457</v>
      </c>
      <c r="D450" s="212"/>
      <c r="E450" s="35">
        <v>42457</v>
      </c>
      <c r="F450" s="144" t="s">
        <v>1534</v>
      </c>
      <c r="G450" s="191"/>
      <c r="H450" s="198" t="s">
        <v>829</v>
      </c>
      <c r="I450" s="186">
        <v>15</v>
      </c>
      <c r="J450" s="186">
        <v>80000</v>
      </c>
      <c r="K450" s="185"/>
      <c r="L450" s="186"/>
      <c r="M450" s="36">
        <f>ROUND(I450*J450,-3)</f>
        <v>1200000</v>
      </c>
      <c r="N450" s="37" t="s">
        <v>8</v>
      </c>
      <c r="O450" s="37" t="s">
        <v>1443</v>
      </c>
      <c r="P450" s="47" t="str">
        <f>IF(AND('331-CT'!$F$5=TH!H450,OR(N450="331",O450="331")),"x","")</f>
        <v/>
      </c>
      <c r="Q450" s="47" t="str">
        <f>IF(AND(B450='111'!$L$11,OR($N450=$Q$7,$O450=$Q$7)),"x","")</f>
        <v/>
      </c>
      <c r="R450" s="47" t="str">
        <f>IF(AND($N450=$Q$7,$B450&lt;'111'!$L$11),"x","")</f>
        <v/>
      </c>
      <c r="S450" s="47" t="str">
        <f>IF(AND($O450=$Q$7,$B450&lt;'111'!$L$11),"x","")</f>
        <v/>
      </c>
    </row>
    <row r="451" spans="1:19" ht="15.75" customHeight="1">
      <c r="A451" s="152" t="str">
        <f>IF(B451&lt;&gt;"",IF(AND(B451='IN-TC'!$S$4,OR(TH!N451="1111",TH!O451="1111")),TH!D451,""),"")</f>
        <v/>
      </c>
      <c r="B451" s="34">
        <f t="shared" si="15"/>
        <v>3</v>
      </c>
      <c r="C451" s="35">
        <f t="shared" si="16"/>
        <v>42458</v>
      </c>
      <c r="D451" s="212" t="s">
        <v>972</v>
      </c>
      <c r="E451" s="35">
        <v>42458</v>
      </c>
      <c r="F451" s="144" t="s">
        <v>512</v>
      </c>
      <c r="G451" s="191" t="s">
        <v>104</v>
      </c>
      <c r="H451" s="198"/>
      <c r="I451" s="186"/>
      <c r="J451" s="186"/>
      <c r="K451" s="185"/>
      <c r="L451" s="186"/>
      <c r="M451" s="36">
        <v>50000000</v>
      </c>
      <c r="N451" s="37"/>
      <c r="O451" s="37" t="s">
        <v>34</v>
      </c>
      <c r="P451" s="47" t="str">
        <f>IF(AND('331-CT'!$F$5=TH!H451,OR(N451="331",O451="331")),"x","")</f>
        <v/>
      </c>
      <c r="Q451" s="47" t="str">
        <f>IF(AND(B451='111'!$L$11,OR($N451=$Q$7,$O451=$Q$7)),"x","")</f>
        <v/>
      </c>
      <c r="R451" s="47" t="str">
        <f>IF(AND($N451=$Q$7,$B451&lt;'111'!$L$11),"x","")</f>
        <v/>
      </c>
      <c r="S451" s="47" t="str">
        <f>IF(AND($O451=$Q$7,$B451&lt;'111'!$L$11),"x","")</f>
        <v>x</v>
      </c>
    </row>
    <row r="452" spans="1:19" ht="15.75" customHeight="1">
      <c r="A452" s="152" t="str">
        <f>IF(B452&lt;&gt;"",IF(AND(B452='IN-TC'!$S$4,OR(TH!N452="1111",TH!O452="1111")),TH!D452,""),"")</f>
        <v/>
      </c>
      <c r="B452" s="34">
        <f t="shared" si="15"/>
        <v>3</v>
      </c>
      <c r="C452" s="35">
        <f t="shared" si="16"/>
        <v>42458</v>
      </c>
      <c r="D452" s="212" t="s">
        <v>973</v>
      </c>
      <c r="E452" s="35">
        <v>42458</v>
      </c>
      <c r="F452" s="144" t="s">
        <v>513</v>
      </c>
      <c r="G452" s="191" t="s">
        <v>203</v>
      </c>
      <c r="H452" s="198"/>
      <c r="I452" s="186"/>
      <c r="J452" s="186"/>
      <c r="K452" s="185"/>
      <c r="L452" s="186"/>
      <c r="M452" s="36">
        <v>10011000</v>
      </c>
      <c r="N452" s="37" t="s">
        <v>814</v>
      </c>
      <c r="O452" s="37" t="s">
        <v>34</v>
      </c>
      <c r="P452" s="47" t="str">
        <f>IF(AND('331-CT'!$F$5=TH!H452,OR(N452="331",O452="331")),"x","")</f>
        <v/>
      </c>
      <c r="Q452" s="47" t="str">
        <f>IF(AND(B452='111'!$L$11,OR($N452=$Q$7,$O452=$Q$7)),"x","")</f>
        <v/>
      </c>
      <c r="R452" s="47" t="str">
        <f>IF(AND($N452=$Q$7,$B452&lt;'111'!$L$11),"x","")</f>
        <v/>
      </c>
      <c r="S452" s="47" t="str">
        <f>IF(AND($O452=$Q$7,$B452&lt;'111'!$L$11),"x","")</f>
        <v>x</v>
      </c>
    </row>
    <row r="453" spans="1:19" ht="15.75" customHeight="1">
      <c r="A453" s="152" t="str">
        <f>IF(B453&lt;&gt;"",IF(AND(B453='IN-TC'!$S$4,OR(TH!N453="1111",TH!O453="1111")),TH!D453,""),"")</f>
        <v/>
      </c>
      <c r="B453" s="34">
        <f t="shared" si="15"/>
        <v>3</v>
      </c>
      <c r="C453" s="35">
        <f t="shared" si="16"/>
        <v>42458</v>
      </c>
      <c r="D453" s="212" t="s">
        <v>974</v>
      </c>
      <c r="E453" s="35">
        <v>42458</v>
      </c>
      <c r="F453" s="144" t="s">
        <v>514</v>
      </c>
      <c r="G453" s="191" t="s">
        <v>210</v>
      </c>
      <c r="H453" s="198"/>
      <c r="I453" s="186"/>
      <c r="J453" s="186"/>
      <c r="K453" s="185"/>
      <c r="L453" s="186"/>
      <c r="M453" s="36">
        <v>16500000</v>
      </c>
      <c r="N453" s="37"/>
      <c r="O453" s="37" t="s">
        <v>34</v>
      </c>
      <c r="P453" s="47" t="str">
        <f>IF(AND('331-CT'!$F$5=TH!H453,OR(N453="331",O453="331")),"x","")</f>
        <v/>
      </c>
      <c r="Q453" s="47" t="str">
        <f>IF(AND(B453='111'!$L$11,OR($N453=$Q$7,$O453=$Q$7)),"x","")</f>
        <v/>
      </c>
      <c r="R453" s="47" t="str">
        <f>IF(AND($N453=$Q$7,$B453&lt;'111'!$L$11),"x","")</f>
        <v/>
      </c>
      <c r="S453" s="47" t="str">
        <f>IF(AND($O453=$Q$7,$B453&lt;'111'!$L$11),"x","")</f>
        <v>x</v>
      </c>
    </row>
    <row r="454" spans="1:19" ht="15.75" customHeight="1">
      <c r="A454" s="152" t="str">
        <f>IF(B454&lt;&gt;"",IF(AND(B454='IN-TC'!$S$4,OR(TH!N454="1111",TH!O454="1111")),TH!D454,""),"")</f>
        <v/>
      </c>
      <c r="B454" s="34">
        <f t="shared" si="15"/>
        <v>3</v>
      </c>
      <c r="C454" s="35">
        <f t="shared" si="16"/>
        <v>42458</v>
      </c>
      <c r="D454" s="212" t="s">
        <v>975</v>
      </c>
      <c r="E454" s="35">
        <v>42458</v>
      </c>
      <c r="F454" s="144" t="s">
        <v>515</v>
      </c>
      <c r="G454" s="191" t="s">
        <v>202</v>
      </c>
      <c r="H454" s="198"/>
      <c r="I454" s="186"/>
      <c r="J454" s="186"/>
      <c r="K454" s="185"/>
      <c r="L454" s="186"/>
      <c r="M454" s="36">
        <v>3679000</v>
      </c>
      <c r="N454" s="37"/>
      <c r="O454" s="37" t="s">
        <v>34</v>
      </c>
      <c r="P454" s="47" t="str">
        <f>IF(AND('331-CT'!$F$5=TH!H454,OR(N454="331",O454="331")),"x","")</f>
        <v/>
      </c>
      <c r="Q454" s="47" t="str">
        <f>IF(AND(B454='111'!$L$11,OR($N454=$Q$7,$O454=$Q$7)),"x","")</f>
        <v/>
      </c>
      <c r="R454" s="47" t="str">
        <f>IF(AND($N454=$Q$7,$B454&lt;'111'!$L$11),"x","")</f>
        <v/>
      </c>
      <c r="S454" s="47" t="str">
        <f>IF(AND($O454=$Q$7,$B454&lt;'111'!$L$11),"x","")</f>
        <v>x</v>
      </c>
    </row>
    <row r="455" spans="1:19" ht="15.75" customHeight="1">
      <c r="A455" s="152" t="str">
        <f>IF(B455&lt;&gt;"",IF(AND(B455='IN-TC'!$S$4,OR(TH!N455="1111",TH!O455="1111")),TH!D455,""),"")</f>
        <v/>
      </c>
      <c r="B455" s="34">
        <f t="shared" si="15"/>
        <v>3</v>
      </c>
      <c r="C455" s="35">
        <f t="shared" si="16"/>
        <v>42458</v>
      </c>
      <c r="D455" s="212" t="s">
        <v>976</v>
      </c>
      <c r="E455" s="35">
        <v>42458</v>
      </c>
      <c r="F455" s="144" t="s">
        <v>516</v>
      </c>
      <c r="G455" s="191" t="s">
        <v>111</v>
      </c>
      <c r="H455" s="198"/>
      <c r="I455" s="186"/>
      <c r="J455" s="186"/>
      <c r="K455" s="185"/>
      <c r="L455" s="186"/>
      <c r="M455" s="36">
        <v>300000</v>
      </c>
      <c r="N455" s="37"/>
      <c r="O455" s="37" t="s">
        <v>34</v>
      </c>
      <c r="P455" s="47" t="str">
        <f>IF(AND('331-CT'!$F$5=TH!H455,OR(N455="331",O455="331")),"x","")</f>
        <v/>
      </c>
      <c r="Q455" s="47" t="str">
        <f>IF(AND(B455='111'!$L$11,OR($N455=$Q$7,$O455=$Q$7)),"x","")</f>
        <v/>
      </c>
      <c r="R455" s="47" t="str">
        <f>IF(AND($N455=$Q$7,$B455&lt;'111'!$L$11),"x","")</f>
        <v/>
      </c>
      <c r="S455" s="47" t="str">
        <f>IF(AND($O455=$Q$7,$B455&lt;'111'!$L$11),"x","")</f>
        <v>x</v>
      </c>
    </row>
    <row r="456" spans="1:19" ht="15.75" customHeight="1">
      <c r="A456" s="152" t="str">
        <f>IF(B456&lt;&gt;"",IF(AND(B456='IN-TC'!$S$4,OR(TH!N456="1111",TH!O456="1111")),TH!D456,""),"")</f>
        <v/>
      </c>
      <c r="B456" s="34">
        <f t="shared" si="15"/>
        <v>3</v>
      </c>
      <c r="C456" s="35">
        <f t="shared" si="16"/>
        <v>42458</v>
      </c>
      <c r="D456" s="212"/>
      <c r="E456" s="35">
        <v>42458</v>
      </c>
      <c r="F456" s="144" t="s">
        <v>1496</v>
      </c>
      <c r="G456" s="191" t="s">
        <v>204</v>
      </c>
      <c r="H456" s="198" t="s">
        <v>827</v>
      </c>
      <c r="I456" s="186">
        <v>7691</v>
      </c>
      <c r="J456" s="186">
        <v>6200</v>
      </c>
      <c r="K456" s="185"/>
      <c r="L456" s="186"/>
      <c r="M456" s="36">
        <f>ROUND(I456*J456,-3)</f>
        <v>47684000</v>
      </c>
      <c r="N456" s="37" t="s">
        <v>1443</v>
      </c>
      <c r="O456" s="37" t="s">
        <v>8</v>
      </c>
      <c r="P456" s="47" t="str">
        <f>IF(AND('331-CT'!$F$5=TH!H456,OR(N456="331",O456="331")),"x","")</f>
        <v/>
      </c>
      <c r="Q456" s="47" t="str">
        <f>IF(AND(B456='111'!$L$11,OR($N456=$Q$7,$O456=$Q$7)),"x","")</f>
        <v/>
      </c>
      <c r="R456" s="47" t="str">
        <f>IF(AND($N456=$Q$7,$B456&lt;'111'!$L$11),"x","")</f>
        <v/>
      </c>
      <c r="S456" s="47" t="str">
        <f>IF(AND($O456=$Q$7,$B456&lt;'111'!$L$11),"x","")</f>
        <v/>
      </c>
    </row>
    <row r="457" spans="1:19" ht="15.75" customHeight="1">
      <c r="A457" s="152" t="str">
        <f>IF(B457&lt;&gt;"",IF(AND(B457='IN-TC'!$S$4,OR(TH!N457="1111",TH!O457="1111")),TH!D457,""),"")</f>
        <v/>
      </c>
      <c r="B457" s="34">
        <f t="shared" si="15"/>
        <v>3</v>
      </c>
      <c r="C457" s="35">
        <f t="shared" si="16"/>
        <v>42458</v>
      </c>
      <c r="D457" s="212"/>
      <c r="E457" s="35">
        <v>42458</v>
      </c>
      <c r="F457" s="144" t="s">
        <v>1496</v>
      </c>
      <c r="G457" s="191" t="s">
        <v>1471</v>
      </c>
      <c r="H457" s="198" t="s">
        <v>827</v>
      </c>
      <c r="I457" s="186">
        <v>9335</v>
      </c>
      <c r="J457" s="186">
        <v>7200</v>
      </c>
      <c r="K457" s="185"/>
      <c r="L457" s="186"/>
      <c r="M457" s="36">
        <f>ROUND(I457*J457,-3)</f>
        <v>67212000</v>
      </c>
      <c r="N457" s="37" t="s">
        <v>1443</v>
      </c>
      <c r="O457" s="37" t="s">
        <v>8</v>
      </c>
      <c r="P457" s="47" t="str">
        <f>IF(AND('331-CT'!$F$5=TH!H457,OR(N457="331",O457="331")),"x","")</f>
        <v/>
      </c>
      <c r="Q457" s="47" t="str">
        <f>IF(AND(B457='111'!$L$11,OR($N457=$Q$7,$O457=$Q$7)),"x","")</f>
        <v/>
      </c>
      <c r="R457" s="47" t="str">
        <f>IF(AND($N457=$Q$7,$B457&lt;'111'!$L$11),"x","")</f>
        <v/>
      </c>
      <c r="S457" s="47" t="str">
        <f>IF(AND($O457=$Q$7,$B457&lt;'111'!$L$11),"x","")</f>
        <v/>
      </c>
    </row>
    <row r="458" spans="1:19" ht="15.75" customHeight="1">
      <c r="A458" s="152" t="str">
        <f>IF(B458&lt;&gt;"",IF(AND(B458='IN-TC'!$S$4,OR(TH!N458="1111",TH!O458="1111")),TH!D458,""),"")</f>
        <v/>
      </c>
      <c r="B458" s="34">
        <f t="shared" si="15"/>
        <v>3</v>
      </c>
      <c r="C458" s="35">
        <f t="shared" si="16"/>
        <v>42458</v>
      </c>
      <c r="D458" s="212"/>
      <c r="E458" s="35">
        <v>42458</v>
      </c>
      <c r="F458" s="144" t="s">
        <v>1534</v>
      </c>
      <c r="G458" s="191"/>
      <c r="H458" s="198" t="s">
        <v>829</v>
      </c>
      <c r="I458" s="186">
        <v>30</v>
      </c>
      <c r="J458" s="186">
        <v>80000</v>
      </c>
      <c r="K458" s="185"/>
      <c r="L458" s="186"/>
      <c r="M458" s="36">
        <f>ROUND(I458*J458,-3)</f>
        <v>2400000</v>
      </c>
      <c r="N458" s="37" t="s">
        <v>8</v>
      </c>
      <c r="O458" s="37" t="s">
        <v>1443</v>
      </c>
      <c r="P458" s="47" t="str">
        <f>IF(AND('331-CT'!$F$5=TH!H458,OR(N458="331",O458="331")),"x","")</f>
        <v/>
      </c>
      <c r="Q458" s="47" t="str">
        <f>IF(AND(B458='111'!$L$11,OR($N458=$Q$7,$O458=$Q$7)),"x","")</f>
        <v/>
      </c>
      <c r="R458" s="47" t="str">
        <f>IF(AND($N458=$Q$7,$B458&lt;'111'!$L$11),"x","")</f>
        <v/>
      </c>
      <c r="S458" s="47" t="str">
        <f>IF(AND($O458=$Q$7,$B458&lt;'111'!$L$11),"x","")</f>
        <v/>
      </c>
    </row>
    <row r="459" spans="1:19" ht="15.75" customHeight="1">
      <c r="A459" s="152" t="str">
        <f>IF(B459&lt;&gt;"",IF(AND(B459='IN-TC'!$S$4,OR(TH!N459="1111",TH!O459="1111")),TH!D459,""),"")</f>
        <v/>
      </c>
      <c r="B459" s="34">
        <f t="shared" si="15"/>
        <v>3</v>
      </c>
      <c r="C459" s="35">
        <f t="shared" si="16"/>
        <v>42458</v>
      </c>
      <c r="D459" s="212"/>
      <c r="E459" s="35">
        <v>42458</v>
      </c>
      <c r="F459" s="144" t="s">
        <v>1534</v>
      </c>
      <c r="G459" s="191"/>
      <c r="H459" s="198" t="s">
        <v>829</v>
      </c>
      <c r="I459" s="186">
        <v>1995</v>
      </c>
      <c r="J459" s="186">
        <v>80000</v>
      </c>
      <c r="K459" s="185"/>
      <c r="L459" s="186"/>
      <c r="M459" s="36">
        <f>ROUND(I459*J459,-3)</f>
        <v>159600000</v>
      </c>
      <c r="N459" s="37" t="s">
        <v>8</v>
      </c>
      <c r="O459" s="37" t="s">
        <v>1443</v>
      </c>
      <c r="P459" s="47" t="str">
        <f>IF(AND('331-CT'!$F$5=TH!H459,OR(N459="331",O459="331")),"x","")</f>
        <v/>
      </c>
      <c r="Q459" s="47" t="str">
        <f>IF(AND(B459='111'!$L$11,OR($N459=$Q$7,$O459=$Q$7)),"x","")</f>
        <v/>
      </c>
      <c r="R459" s="47" t="str">
        <f>IF(AND($N459=$Q$7,$B459&lt;'111'!$L$11),"x","")</f>
        <v/>
      </c>
      <c r="S459" s="47" t="str">
        <f>IF(AND($O459=$Q$7,$B459&lt;'111'!$L$11),"x","")</f>
        <v/>
      </c>
    </row>
    <row r="460" spans="1:19" ht="15.75" customHeight="1">
      <c r="A460" s="152" t="str">
        <f>IF(B460&lt;&gt;"",IF(AND(B460='IN-TC'!$S$4,OR(TH!N460="1111",TH!O460="1111")),TH!D460,""),"")</f>
        <v/>
      </c>
      <c r="B460" s="34">
        <f t="shared" si="15"/>
        <v>3</v>
      </c>
      <c r="C460" s="35">
        <f t="shared" si="16"/>
        <v>42459</v>
      </c>
      <c r="D460" s="212" t="s">
        <v>977</v>
      </c>
      <c r="E460" s="35">
        <v>42459</v>
      </c>
      <c r="F460" s="144" t="s">
        <v>434</v>
      </c>
      <c r="G460" s="191" t="s">
        <v>104</v>
      </c>
      <c r="H460" s="198"/>
      <c r="I460" s="186"/>
      <c r="J460" s="186"/>
      <c r="K460" s="185"/>
      <c r="L460" s="186"/>
      <c r="M460" s="36">
        <v>25000000</v>
      </c>
      <c r="N460" s="37"/>
      <c r="O460" s="37" t="s">
        <v>34</v>
      </c>
      <c r="P460" s="47" t="str">
        <f>IF(AND('331-CT'!$F$5=TH!H460,OR(N460="331",O460="331")),"x","")</f>
        <v/>
      </c>
      <c r="Q460" s="47" t="str">
        <f>IF(AND(B460='111'!$L$11,OR($N460=$Q$7,$O460=$Q$7)),"x","")</f>
        <v/>
      </c>
      <c r="R460" s="47" t="str">
        <f>IF(AND($N460=$Q$7,$B460&lt;'111'!$L$11),"x","")</f>
        <v/>
      </c>
      <c r="S460" s="47" t="str">
        <f>IF(AND($O460=$Q$7,$B460&lt;'111'!$L$11),"x","")</f>
        <v>x</v>
      </c>
    </row>
    <row r="461" spans="1:19" ht="15.75" customHeight="1">
      <c r="A461" s="152" t="str">
        <f>IF(B461&lt;&gt;"",IF(AND(B461='IN-TC'!$S$4,OR(TH!N461="1111",TH!O461="1111")),TH!D461,""),"")</f>
        <v/>
      </c>
      <c r="B461" s="34">
        <f t="shared" ref="B461:B524" si="17">IF(C461&lt;&gt;"",MONTH(C461),"")</f>
        <v>3</v>
      </c>
      <c r="C461" s="35">
        <f t="shared" ref="C461:C524" si="18">E461</f>
        <v>42459</v>
      </c>
      <c r="D461" s="212" t="s">
        <v>978</v>
      </c>
      <c r="E461" s="35">
        <v>42459</v>
      </c>
      <c r="F461" s="144" t="s">
        <v>517</v>
      </c>
      <c r="G461" s="191" t="s">
        <v>104</v>
      </c>
      <c r="H461" s="198"/>
      <c r="I461" s="186"/>
      <c r="J461" s="186"/>
      <c r="K461" s="185"/>
      <c r="L461" s="186"/>
      <c r="M461" s="36">
        <v>45000000</v>
      </c>
      <c r="N461" s="37"/>
      <c r="O461" s="37" t="s">
        <v>34</v>
      </c>
      <c r="P461" s="47" t="str">
        <f>IF(AND('331-CT'!$F$5=TH!H461,OR(N461="331",O461="331")),"x","")</f>
        <v/>
      </c>
      <c r="Q461" s="47" t="str">
        <f>IF(AND(B461='111'!$L$11,OR($N461=$Q$7,$O461=$Q$7)),"x","")</f>
        <v/>
      </c>
      <c r="R461" s="47" t="str">
        <f>IF(AND($N461=$Q$7,$B461&lt;'111'!$L$11),"x","")</f>
        <v/>
      </c>
      <c r="S461" s="47" t="str">
        <f>IF(AND($O461=$Q$7,$B461&lt;'111'!$L$11),"x","")</f>
        <v>x</v>
      </c>
    </row>
    <row r="462" spans="1:19" ht="15.75" customHeight="1">
      <c r="A462" s="152" t="str">
        <f>IF(B462&lt;&gt;"",IF(AND(B462='IN-TC'!$S$4,OR(TH!N462="1111",TH!O462="1111")),TH!D462,""),"")</f>
        <v/>
      </c>
      <c r="B462" s="34">
        <f t="shared" si="17"/>
        <v>3</v>
      </c>
      <c r="C462" s="35">
        <f t="shared" si="18"/>
        <v>42459</v>
      </c>
      <c r="D462" s="212" t="s">
        <v>979</v>
      </c>
      <c r="E462" s="35">
        <v>42459</v>
      </c>
      <c r="F462" s="144" t="s">
        <v>518</v>
      </c>
      <c r="G462" s="191" t="s">
        <v>225</v>
      </c>
      <c r="H462" s="198"/>
      <c r="I462" s="186"/>
      <c r="J462" s="186"/>
      <c r="K462" s="185"/>
      <c r="L462" s="186"/>
      <c r="M462" s="36">
        <v>10988000</v>
      </c>
      <c r="N462" s="37"/>
      <c r="O462" s="37" t="s">
        <v>34</v>
      </c>
      <c r="P462" s="47" t="str">
        <f>IF(AND('331-CT'!$F$5=TH!H462,OR(N462="331",O462="331")),"x","")</f>
        <v/>
      </c>
      <c r="Q462" s="47" t="str">
        <f>IF(AND(B462='111'!$L$11,OR($N462=$Q$7,$O462=$Q$7)),"x","")</f>
        <v/>
      </c>
      <c r="R462" s="47" t="str">
        <f>IF(AND($N462=$Q$7,$B462&lt;'111'!$L$11),"x","")</f>
        <v/>
      </c>
      <c r="S462" s="47" t="str">
        <f>IF(AND($O462=$Q$7,$B462&lt;'111'!$L$11),"x","")</f>
        <v>x</v>
      </c>
    </row>
    <row r="463" spans="1:19" ht="15.75" customHeight="1">
      <c r="A463" s="152" t="str">
        <f>IF(B463&lt;&gt;"",IF(AND(B463='IN-TC'!$S$4,OR(TH!N463="1111",TH!O463="1111")),TH!D463,""),"")</f>
        <v/>
      </c>
      <c r="B463" s="34">
        <f t="shared" si="17"/>
        <v>3</v>
      </c>
      <c r="C463" s="35">
        <f t="shared" si="18"/>
        <v>42459</v>
      </c>
      <c r="D463" s="212"/>
      <c r="E463" s="35">
        <v>42459</v>
      </c>
      <c r="F463" s="144" t="s">
        <v>1464</v>
      </c>
      <c r="G463" s="191"/>
      <c r="H463" s="198" t="s">
        <v>815</v>
      </c>
      <c r="I463" s="186">
        <v>5404</v>
      </c>
      <c r="J463" s="186">
        <v>20500</v>
      </c>
      <c r="K463" s="185"/>
      <c r="L463" s="186"/>
      <c r="M463" s="36">
        <f>ROUND(I463*J463,0)</f>
        <v>110782000</v>
      </c>
      <c r="N463" s="37" t="s">
        <v>1443</v>
      </c>
      <c r="O463" s="37" t="s">
        <v>8</v>
      </c>
      <c r="P463" s="47" t="str">
        <f>IF(AND('331-CT'!$F$5=TH!H463,OR(N463="331",O463="331")),"x","")</f>
        <v/>
      </c>
      <c r="Q463" s="47" t="str">
        <f>IF(AND(B463='111'!$L$11,OR($N463=$Q$7,$O463=$Q$7)),"x","")</f>
        <v/>
      </c>
      <c r="R463" s="47" t="str">
        <f>IF(AND($N463=$Q$7,$B463&lt;'111'!$L$11),"x","")</f>
        <v/>
      </c>
      <c r="S463" s="47" t="str">
        <f>IF(AND($O463=$Q$7,$B463&lt;'111'!$L$11),"x","")</f>
        <v/>
      </c>
    </row>
    <row r="464" spans="1:19" ht="15.75" customHeight="1">
      <c r="A464" s="152" t="str">
        <f>IF(B464&lt;&gt;"",IF(AND(B464='IN-TC'!$S$4,OR(TH!N464="1111",TH!O464="1111")),TH!D464,""),"")</f>
        <v/>
      </c>
      <c r="B464" s="34">
        <f t="shared" si="17"/>
        <v>3</v>
      </c>
      <c r="C464" s="35">
        <f t="shared" si="18"/>
        <v>42460</v>
      </c>
      <c r="D464" s="212"/>
      <c r="E464" s="35">
        <v>42460</v>
      </c>
      <c r="F464" s="144" t="s">
        <v>1502</v>
      </c>
      <c r="G464" s="191" t="s">
        <v>1454</v>
      </c>
      <c r="H464" s="198" t="s">
        <v>846</v>
      </c>
      <c r="I464" s="186">
        <v>810</v>
      </c>
      <c r="J464" s="186">
        <v>52000</v>
      </c>
      <c r="K464" s="185"/>
      <c r="L464" s="186"/>
      <c r="M464" s="36">
        <f>ROUND(I464*J464,-3)</f>
        <v>42120000</v>
      </c>
      <c r="N464" s="37" t="s">
        <v>1443</v>
      </c>
      <c r="O464" s="37" t="s">
        <v>8</v>
      </c>
      <c r="P464" s="47" t="str">
        <f>IF(AND('331-CT'!$F$5=TH!H464,OR(N464="331",O464="331")),"x","")</f>
        <v/>
      </c>
      <c r="Q464" s="47" t="str">
        <f>IF(AND(B464='111'!$L$11,OR($N464=$Q$7,$O464=$Q$7)),"x","")</f>
        <v/>
      </c>
      <c r="R464" s="47" t="str">
        <f>IF(AND($N464=$Q$7,$B464&lt;'111'!$L$11),"x","")</f>
        <v/>
      </c>
      <c r="S464" s="47" t="str">
        <f>IF(AND($O464=$Q$7,$B464&lt;'111'!$L$11),"x","")</f>
        <v/>
      </c>
    </row>
    <row r="465" spans="1:19" ht="15.75" customHeight="1">
      <c r="A465" s="152" t="str">
        <f>IF(B465&lt;&gt;"",IF(AND(B465='IN-TC'!$S$4,OR(TH!N465="1111",TH!O465="1111")),TH!D465,""),"")</f>
        <v/>
      </c>
      <c r="B465" s="34">
        <f t="shared" si="17"/>
        <v>3</v>
      </c>
      <c r="C465" s="35">
        <f t="shared" si="18"/>
        <v>42460</v>
      </c>
      <c r="D465" s="212"/>
      <c r="E465" s="35">
        <v>42460</v>
      </c>
      <c r="F465" s="144" t="s">
        <v>1506</v>
      </c>
      <c r="G465" s="191" t="s">
        <v>1454</v>
      </c>
      <c r="H465" s="198" t="s">
        <v>846</v>
      </c>
      <c r="I465" s="186">
        <v>527</v>
      </c>
      <c r="J465" s="186">
        <v>52000</v>
      </c>
      <c r="K465" s="185"/>
      <c r="L465" s="186"/>
      <c r="M465" s="36">
        <f>ROUND(I465*J465,-3)</f>
        <v>27404000</v>
      </c>
      <c r="N465" s="37" t="s">
        <v>1443</v>
      </c>
      <c r="O465" s="37" t="s">
        <v>8</v>
      </c>
      <c r="P465" s="47" t="str">
        <f>IF(AND('331-CT'!$F$5=TH!H465,OR(N465="331",O465="331")),"x","")</f>
        <v/>
      </c>
      <c r="Q465" s="47" t="str">
        <f>IF(AND(B465='111'!$L$11,OR($N465=$Q$7,$O465=$Q$7)),"x","")</f>
        <v/>
      </c>
      <c r="R465" s="47" t="str">
        <f>IF(AND($N465=$Q$7,$B465&lt;'111'!$L$11),"x","")</f>
        <v/>
      </c>
      <c r="S465" s="47" t="str">
        <f>IF(AND($O465=$Q$7,$B465&lt;'111'!$L$11),"x","")</f>
        <v/>
      </c>
    </row>
    <row r="466" spans="1:19" ht="15.75" customHeight="1">
      <c r="A466" s="152" t="str">
        <f>IF(B466&lt;&gt;"",IF(AND(B466='IN-TC'!$S$4,OR(TH!N466="1111",TH!O466="1111")),TH!D466,""),"")</f>
        <v/>
      </c>
      <c r="B466" s="34">
        <f t="shared" si="17"/>
        <v>4</v>
      </c>
      <c r="C466" s="35">
        <f t="shared" si="18"/>
        <v>42461</v>
      </c>
      <c r="D466" s="212" t="s">
        <v>860</v>
      </c>
      <c r="E466" s="35">
        <v>42461</v>
      </c>
      <c r="F466" s="144" t="s">
        <v>268</v>
      </c>
      <c r="G466" s="191" t="s">
        <v>202</v>
      </c>
      <c r="H466" s="198"/>
      <c r="I466" s="186"/>
      <c r="J466" s="186"/>
      <c r="K466" s="185"/>
      <c r="L466" s="186"/>
      <c r="M466" s="36">
        <v>5000000</v>
      </c>
      <c r="N466" s="37"/>
      <c r="O466" s="37" t="s">
        <v>34</v>
      </c>
      <c r="P466" s="47" t="str">
        <f>IF(AND('331-CT'!$F$5=TH!H466,OR(N466="331",O466="331")),"x","")</f>
        <v/>
      </c>
      <c r="Q466" s="47" t="str">
        <f>IF(AND(B466='111'!$L$11,OR($N466=$Q$7,$O466=$Q$7)),"x","")</f>
        <v/>
      </c>
      <c r="R466" s="47" t="str">
        <f>IF(AND($N466=$Q$7,$B466&lt;'111'!$L$11),"x","")</f>
        <v/>
      </c>
      <c r="S466" s="47" t="str">
        <f>IF(AND($O466=$Q$7,$B466&lt;'111'!$L$11),"x","")</f>
        <v>x</v>
      </c>
    </row>
    <row r="467" spans="1:19" ht="15.75" customHeight="1">
      <c r="A467" s="152" t="str">
        <f>IF(B467&lt;&gt;"",IF(AND(B467='IN-TC'!$S$4,OR(TH!N467="1111",TH!O467="1111")),TH!D467,""),"")</f>
        <v/>
      </c>
      <c r="B467" s="34">
        <f t="shared" si="17"/>
        <v>4</v>
      </c>
      <c r="C467" s="35">
        <f t="shared" si="18"/>
        <v>42461</v>
      </c>
      <c r="D467" s="212" t="s">
        <v>861</v>
      </c>
      <c r="E467" s="35">
        <v>42461</v>
      </c>
      <c r="F467" s="144" t="s">
        <v>519</v>
      </c>
      <c r="G467" s="191" t="s">
        <v>208</v>
      </c>
      <c r="H467" s="198"/>
      <c r="I467" s="186"/>
      <c r="J467" s="186"/>
      <c r="K467" s="185"/>
      <c r="L467" s="186"/>
      <c r="M467" s="36">
        <v>1230000</v>
      </c>
      <c r="N467" s="37"/>
      <c r="O467" s="37" t="s">
        <v>34</v>
      </c>
      <c r="P467" s="47" t="str">
        <f>IF(AND('331-CT'!$F$5=TH!H467,OR(N467="331",O467="331")),"x","")</f>
        <v/>
      </c>
      <c r="Q467" s="47" t="str">
        <f>IF(AND(B467='111'!$L$11,OR($N467=$Q$7,$O467=$Q$7)),"x","")</f>
        <v/>
      </c>
      <c r="R467" s="47" t="str">
        <f>IF(AND($N467=$Q$7,$B467&lt;'111'!$L$11),"x","")</f>
        <v/>
      </c>
      <c r="S467" s="47" t="str">
        <f>IF(AND($O467=$Q$7,$B467&lt;'111'!$L$11),"x","")</f>
        <v>x</v>
      </c>
    </row>
    <row r="468" spans="1:19" ht="15.75" customHeight="1">
      <c r="A468" s="152" t="str">
        <f>IF(B468&lt;&gt;"",IF(AND(B468='IN-TC'!$S$4,OR(TH!N468="1111",TH!O468="1111")),TH!D468,""),"")</f>
        <v/>
      </c>
      <c r="B468" s="34">
        <f t="shared" si="17"/>
        <v>4</v>
      </c>
      <c r="C468" s="35">
        <f t="shared" si="18"/>
        <v>42461</v>
      </c>
      <c r="D468" s="212" t="s">
        <v>862</v>
      </c>
      <c r="E468" s="35">
        <v>42461</v>
      </c>
      <c r="F468" s="144" t="s">
        <v>1382</v>
      </c>
      <c r="G468" s="191" t="s">
        <v>203</v>
      </c>
      <c r="H468" s="198" t="s">
        <v>1067</v>
      </c>
      <c r="I468" s="186"/>
      <c r="J468" s="186"/>
      <c r="K468" s="185"/>
      <c r="L468" s="186"/>
      <c r="M468" s="36">
        <v>10517000</v>
      </c>
      <c r="N468" s="37" t="s">
        <v>814</v>
      </c>
      <c r="O468" s="37" t="s">
        <v>34</v>
      </c>
      <c r="P468" s="47" t="str">
        <f>IF(AND('331-CT'!$F$5=TH!H468,OR(N468="331",O468="331")),"x","")</f>
        <v/>
      </c>
      <c r="Q468" s="47" t="str">
        <f>IF(AND(B468='111'!$L$11,OR($N468=$Q$7,$O468=$Q$7)),"x","")</f>
        <v/>
      </c>
      <c r="R468" s="47" t="str">
        <f>IF(AND($N468=$Q$7,$B468&lt;'111'!$L$11),"x","")</f>
        <v/>
      </c>
      <c r="S468" s="47" t="str">
        <f>IF(AND($O468=$Q$7,$B468&lt;'111'!$L$11),"x","")</f>
        <v>x</v>
      </c>
    </row>
    <row r="469" spans="1:19" ht="15.75" customHeight="1">
      <c r="A469" s="152" t="str">
        <f>IF(B469&lt;&gt;"",IF(AND(B469='IN-TC'!$S$4,OR(TH!N469="1111",TH!O469="1111")),TH!D469,""),"")</f>
        <v/>
      </c>
      <c r="B469" s="34">
        <f t="shared" si="17"/>
        <v>4</v>
      </c>
      <c r="C469" s="35">
        <f t="shared" si="18"/>
        <v>42461</v>
      </c>
      <c r="D469" s="212" t="s">
        <v>863</v>
      </c>
      <c r="E469" s="35">
        <v>42461</v>
      </c>
      <c r="F469" s="144" t="s">
        <v>307</v>
      </c>
      <c r="G469" s="191" t="s">
        <v>214</v>
      </c>
      <c r="H469" s="198"/>
      <c r="I469" s="186"/>
      <c r="J469" s="186"/>
      <c r="K469" s="185"/>
      <c r="L469" s="186"/>
      <c r="M469" s="36">
        <v>380000</v>
      </c>
      <c r="N469" s="37"/>
      <c r="O469" s="37" t="s">
        <v>34</v>
      </c>
      <c r="P469" s="47" t="str">
        <f>IF(AND('331-CT'!$F$5=TH!H469,OR(N469="331",O469="331")),"x","")</f>
        <v/>
      </c>
      <c r="Q469" s="47" t="str">
        <f>IF(AND(B469='111'!$L$11,OR($N469=$Q$7,$O469=$Q$7)),"x","")</f>
        <v/>
      </c>
      <c r="R469" s="47" t="str">
        <f>IF(AND($N469=$Q$7,$B469&lt;'111'!$L$11),"x","")</f>
        <v/>
      </c>
      <c r="S469" s="47" t="str">
        <f>IF(AND($O469=$Q$7,$B469&lt;'111'!$L$11),"x","")</f>
        <v>x</v>
      </c>
    </row>
    <row r="470" spans="1:19" ht="15.75" customHeight="1">
      <c r="A470" s="152" t="str">
        <f>IF(B470&lt;&gt;"",IF(AND(B470='IN-TC'!$S$4,OR(TH!N470="1111",TH!O470="1111")),TH!D470,""),"")</f>
        <v/>
      </c>
      <c r="B470" s="34">
        <f t="shared" si="17"/>
        <v>4</v>
      </c>
      <c r="C470" s="35">
        <f t="shared" si="18"/>
        <v>42461</v>
      </c>
      <c r="D470" s="212" t="s">
        <v>864</v>
      </c>
      <c r="E470" s="35">
        <v>42461</v>
      </c>
      <c r="F470" s="144" t="s">
        <v>520</v>
      </c>
      <c r="G470" s="191" t="s">
        <v>202</v>
      </c>
      <c r="H470" s="198"/>
      <c r="I470" s="186"/>
      <c r="J470" s="186"/>
      <c r="K470" s="185"/>
      <c r="L470" s="186"/>
      <c r="M470" s="36">
        <v>1197000</v>
      </c>
      <c r="N470" s="37"/>
      <c r="O470" s="37" t="s">
        <v>34</v>
      </c>
      <c r="P470" s="47" t="str">
        <f>IF(AND('331-CT'!$F$5=TH!H470,OR(N470="331",O470="331")),"x","")</f>
        <v/>
      </c>
      <c r="Q470" s="47" t="str">
        <f>IF(AND(B470='111'!$L$11,OR($N470=$Q$7,$O470=$Q$7)),"x","")</f>
        <v/>
      </c>
      <c r="R470" s="47" t="str">
        <f>IF(AND($N470=$Q$7,$B470&lt;'111'!$L$11),"x","")</f>
        <v/>
      </c>
      <c r="S470" s="47" t="str">
        <f>IF(AND($O470=$Q$7,$B470&lt;'111'!$L$11),"x","")</f>
        <v>x</v>
      </c>
    </row>
    <row r="471" spans="1:19" ht="15.75" customHeight="1">
      <c r="A471" s="152" t="str">
        <f>IF(B471&lt;&gt;"",IF(AND(B471='IN-TC'!$S$4,OR(TH!N471="1111",TH!O471="1111")),TH!D471,""),"")</f>
        <v/>
      </c>
      <c r="B471" s="34">
        <f t="shared" si="17"/>
        <v>4</v>
      </c>
      <c r="C471" s="35">
        <f t="shared" si="18"/>
        <v>42461</v>
      </c>
      <c r="D471" s="212" t="s">
        <v>865</v>
      </c>
      <c r="E471" s="35">
        <v>42461</v>
      </c>
      <c r="F471" s="144" t="s">
        <v>521</v>
      </c>
      <c r="G471" s="191" t="s">
        <v>202</v>
      </c>
      <c r="H471" s="198"/>
      <c r="I471" s="186"/>
      <c r="J471" s="186"/>
      <c r="K471" s="185"/>
      <c r="L471" s="186"/>
      <c r="M471" s="36">
        <v>2150000</v>
      </c>
      <c r="N471" s="37"/>
      <c r="O471" s="37" t="s">
        <v>34</v>
      </c>
      <c r="P471" s="47" t="str">
        <f>IF(AND('331-CT'!$F$5=TH!H471,OR(N471="331",O471="331")),"x","")</f>
        <v/>
      </c>
      <c r="Q471" s="47" t="str">
        <f>IF(AND(B471='111'!$L$11,OR($N471=$Q$7,$O471=$Q$7)),"x","")</f>
        <v/>
      </c>
      <c r="R471" s="47" t="str">
        <f>IF(AND($N471=$Q$7,$B471&lt;'111'!$L$11),"x","")</f>
        <v/>
      </c>
      <c r="S471" s="47" t="str">
        <f>IF(AND($O471=$Q$7,$B471&lt;'111'!$L$11),"x","")</f>
        <v>x</v>
      </c>
    </row>
    <row r="472" spans="1:19" ht="15.75" customHeight="1">
      <c r="A472" s="152" t="str">
        <f>IF(B472&lt;&gt;"",IF(AND(B472='IN-TC'!$S$4,OR(TH!N472="1111",TH!O472="1111")),TH!D472,""),"")</f>
        <v/>
      </c>
      <c r="B472" s="34">
        <f t="shared" si="17"/>
        <v>4</v>
      </c>
      <c r="C472" s="35">
        <f t="shared" si="18"/>
        <v>42461</v>
      </c>
      <c r="D472" s="212"/>
      <c r="E472" s="35">
        <v>42461</v>
      </c>
      <c r="F472" s="144" t="s">
        <v>1496</v>
      </c>
      <c r="G472" s="191" t="s">
        <v>1471</v>
      </c>
      <c r="H472" s="198" t="s">
        <v>827</v>
      </c>
      <c r="I472" s="186">
        <v>6093</v>
      </c>
      <c r="J472" s="186">
        <v>6300</v>
      </c>
      <c r="K472" s="185"/>
      <c r="L472" s="186"/>
      <c r="M472" s="36">
        <f>ROUND(I472*J472,-3)</f>
        <v>38386000</v>
      </c>
      <c r="N472" s="37" t="s">
        <v>1443</v>
      </c>
      <c r="O472" s="37" t="s">
        <v>8</v>
      </c>
      <c r="P472" s="47" t="str">
        <f>IF(AND('331-CT'!$F$5=TH!H472,OR(N472="331",O472="331")),"x","")</f>
        <v/>
      </c>
      <c r="Q472" s="47" t="str">
        <f>IF(AND(B472='111'!$L$11,OR($N472=$Q$7,$O472=$Q$7)),"x","")</f>
        <v/>
      </c>
      <c r="R472" s="47" t="str">
        <f>IF(AND($N472=$Q$7,$B472&lt;'111'!$L$11),"x","")</f>
        <v/>
      </c>
      <c r="S472" s="47" t="str">
        <f>IF(AND($O472=$Q$7,$B472&lt;'111'!$L$11),"x","")</f>
        <v/>
      </c>
    </row>
    <row r="473" spans="1:19" ht="15.75" customHeight="1">
      <c r="A473" s="152" t="str">
        <f>IF(B473&lt;&gt;"",IF(AND(B473='IN-TC'!$S$4,OR(TH!N473="1111",TH!O473="1111")),TH!D473,""),"")</f>
        <v/>
      </c>
      <c r="B473" s="34">
        <f t="shared" si="17"/>
        <v>4</v>
      </c>
      <c r="C473" s="35">
        <f t="shared" si="18"/>
        <v>42462</v>
      </c>
      <c r="D473" s="212" t="s">
        <v>934</v>
      </c>
      <c r="E473" s="35">
        <v>42462</v>
      </c>
      <c r="F473" s="144" t="s">
        <v>150</v>
      </c>
      <c r="G473" s="191" t="s">
        <v>105</v>
      </c>
      <c r="H473" s="198" t="s">
        <v>1042</v>
      </c>
      <c r="I473" s="186"/>
      <c r="J473" s="186"/>
      <c r="K473" s="185"/>
      <c r="L473" s="186"/>
      <c r="M473" s="36">
        <v>300000000</v>
      </c>
      <c r="N473" s="37" t="s">
        <v>34</v>
      </c>
      <c r="O473" s="37" t="s">
        <v>812</v>
      </c>
      <c r="P473" s="47" t="str">
        <f>IF(AND('331-CT'!$F$5=TH!H473,OR(N473="331",O473="331")),"x","")</f>
        <v/>
      </c>
      <c r="Q473" s="47" t="str">
        <f>IF(AND(B473='111'!$L$11,OR($N473=$Q$7,$O473=$Q$7)),"x","")</f>
        <v/>
      </c>
      <c r="R473" s="47" t="str">
        <f>IF(AND($N473=$Q$7,$B473&lt;'111'!$L$11),"x","")</f>
        <v>x</v>
      </c>
      <c r="S473" s="47" t="str">
        <f>IF(AND($O473=$Q$7,$B473&lt;'111'!$L$11),"x","")</f>
        <v/>
      </c>
    </row>
    <row r="474" spans="1:19" ht="15.75" customHeight="1">
      <c r="A474" s="152" t="str">
        <f>IF(B474&lt;&gt;"",IF(AND(B474='IN-TC'!$S$4,OR(TH!N474="1111",TH!O474="1111")),TH!D474,""),"")</f>
        <v/>
      </c>
      <c r="B474" s="34">
        <f t="shared" si="17"/>
        <v>4</v>
      </c>
      <c r="C474" s="35">
        <f t="shared" si="18"/>
        <v>42462</v>
      </c>
      <c r="D474" s="212" t="s">
        <v>935</v>
      </c>
      <c r="E474" s="35">
        <v>42462</v>
      </c>
      <c r="F474" s="144" t="s">
        <v>159</v>
      </c>
      <c r="G474" s="191" t="s">
        <v>106</v>
      </c>
      <c r="H474" s="198"/>
      <c r="I474" s="186"/>
      <c r="J474" s="186"/>
      <c r="K474" s="185"/>
      <c r="L474" s="186"/>
      <c r="M474" s="36">
        <v>128765000</v>
      </c>
      <c r="N474" s="37" t="s">
        <v>34</v>
      </c>
      <c r="O474" s="37"/>
      <c r="P474" s="47" t="str">
        <f>IF(AND('331-CT'!$F$5=TH!H474,OR(N474="331",O474="331")),"x","")</f>
        <v/>
      </c>
      <c r="Q474" s="47" t="str">
        <f>IF(AND(B474='111'!$L$11,OR($N474=$Q$7,$O474=$Q$7)),"x","")</f>
        <v/>
      </c>
      <c r="R474" s="47" t="str">
        <f>IF(AND($N474=$Q$7,$B474&lt;'111'!$L$11),"x","")</f>
        <v>x</v>
      </c>
      <c r="S474" s="47" t="str">
        <f>IF(AND($O474=$Q$7,$B474&lt;'111'!$L$11),"x","")</f>
        <v/>
      </c>
    </row>
    <row r="475" spans="1:19" ht="15.75" customHeight="1">
      <c r="A475" s="152" t="str">
        <f>IF(B475&lt;&gt;"",IF(AND(B475='IN-TC'!$S$4,OR(TH!N475="1111",TH!O475="1111")),TH!D475,""),"")</f>
        <v/>
      </c>
      <c r="B475" s="34">
        <f t="shared" si="17"/>
        <v>4</v>
      </c>
      <c r="C475" s="35">
        <f t="shared" si="18"/>
        <v>42462</v>
      </c>
      <c r="D475" s="212" t="s">
        <v>936</v>
      </c>
      <c r="E475" s="35">
        <v>42462</v>
      </c>
      <c r="F475" s="144" t="s">
        <v>160</v>
      </c>
      <c r="G475" s="191" t="s">
        <v>108</v>
      </c>
      <c r="H475" s="198"/>
      <c r="I475" s="186"/>
      <c r="J475" s="186"/>
      <c r="K475" s="185"/>
      <c r="L475" s="186"/>
      <c r="M475" s="36">
        <v>145350000</v>
      </c>
      <c r="N475" s="37" t="s">
        <v>34</v>
      </c>
      <c r="O475" s="37"/>
      <c r="P475" s="47" t="str">
        <f>IF(AND('331-CT'!$F$5=TH!H475,OR(N475="331",O475="331")),"x","")</f>
        <v/>
      </c>
      <c r="Q475" s="47" t="str">
        <f>IF(AND(B475='111'!$L$11,OR($N475=$Q$7,$O475=$Q$7)),"x","")</f>
        <v/>
      </c>
      <c r="R475" s="47" t="str">
        <f>IF(AND($N475=$Q$7,$B475&lt;'111'!$L$11),"x","")</f>
        <v>x</v>
      </c>
      <c r="S475" s="47" t="str">
        <f>IF(AND($O475=$Q$7,$B475&lt;'111'!$L$11),"x","")</f>
        <v/>
      </c>
    </row>
    <row r="476" spans="1:19" ht="15.75" customHeight="1">
      <c r="A476" s="152" t="str">
        <f>IF(B476&lt;&gt;"",IF(AND(B476='IN-TC'!$S$4,OR(TH!N476="1111",TH!O476="1111")),TH!D476,""),"")</f>
        <v/>
      </c>
      <c r="B476" s="34">
        <f t="shared" si="17"/>
        <v>4</v>
      </c>
      <c r="C476" s="35">
        <f t="shared" si="18"/>
        <v>42462</v>
      </c>
      <c r="D476" s="212" t="s">
        <v>866</v>
      </c>
      <c r="E476" s="35">
        <v>42462</v>
      </c>
      <c r="F476" s="144" t="s">
        <v>522</v>
      </c>
      <c r="G476" s="191" t="s">
        <v>204</v>
      </c>
      <c r="H476" s="198"/>
      <c r="I476" s="186"/>
      <c r="J476" s="186"/>
      <c r="K476" s="185"/>
      <c r="L476" s="186"/>
      <c r="M476" s="36">
        <v>200000000</v>
      </c>
      <c r="N476" s="37"/>
      <c r="O476" s="37" t="s">
        <v>34</v>
      </c>
      <c r="P476" s="47" t="str">
        <f>IF(AND('331-CT'!$F$5=TH!H476,OR(N476="331",O476="331")),"x","")</f>
        <v/>
      </c>
      <c r="Q476" s="47" t="str">
        <f>IF(AND(B476='111'!$L$11,OR($N476=$Q$7,$O476=$Q$7)),"x","")</f>
        <v/>
      </c>
      <c r="R476" s="47" t="str">
        <f>IF(AND($N476=$Q$7,$B476&lt;'111'!$L$11),"x","")</f>
        <v/>
      </c>
      <c r="S476" s="47" t="str">
        <f>IF(AND($O476=$Q$7,$B476&lt;'111'!$L$11),"x","")</f>
        <v>x</v>
      </c>
    </row>
    <row r="477" spans="1:19" ht="15.75" customHeight="1">
      <c r="A477" s="152" t="str">
        <f>IF(B477&lt;&gt;"",IF(AND(B477='IN-TC'!$S$4,OR(TH!N477="1111",TH!O477="1111")),TH!D477,""),"")</f>
        <v/>
      </c>
      <c r="B477" s="34">
        <f t="shared" si="17"/>
        <v>4</v>
      </c>
      <c r="C477" s="35">
        <f t="shared" si="18"/>
        <v>42462</v>
      </c>
      <c r="D477" s="212" t="s">
        <v>867</v>
      </c>
      <c r="E477" s="35">
        <v>42462</v>
      </c>
      <c r="F477" s="144" t="s">
        <v>523</v>
      </c>
      <c r="G477" s="191" t="s">
        <v>208</v>
      </c>
      <c r="H477" s="198"/>
      <c r="I477" s="186"/>
      <c r="J477" s="186"/>
      <c r="K477" s="185"/>
      <c r="L477" s="186"/>
      <c r="M477" s="36">
        <v>4602000</v>
      </c>
      <c r="N477" s="37"/>
      <c r="O477" s="37" t="s">
        <v>34</v>
      </c>
      <c r="P477" s="47" t="str">
        <f>IF(AND('331-CT'!$F$5=TH!H477,OR(N477="331",O477="331")),"x","")</f>
        <v/>
      </c>
      <c r="Q477" s="47" t="str">
        <f>IF(AND(B477='111'!$L$11,OR($N477=$Q$7,$O477=$Q$7)),"x","")</f>
        <v/>
      </c>
      <c r="R477" s="47" t="str">
        <f>IF(AND($N477=$Q$7,$B477&lt;'111'!$L$11),"x","")</f>
        <v/>
      </c>
      <c r="S477" s="47" t="str">
        <f>IF(AND($O477=$Q$7,$B477&lt;'111'!$L$11),"x","")</f>
        <v>x</v>
      </c>
    </row>
    <row r="478" spans="1:19" ht="15.75" customHeight="1">
      <c r="A478" s="152" t="str">
        <f>IF(B478&lt;&gt;"",IF(AND(B478='IN-TC'!$S$4,OR(TH!N478="1111",TH!O478="1111")),TH!D478,""),"")</f>
        <v/>
      </c>
      <c r="B478" s="34">
        <f t="shared" si="17"/>
        <v>4</v>
      </c>
      <c r="C478" s="35">
        <f t="shared" si="18"/>
        <v>42462</v>
      </c>
      <c r="D478" s="212" t="s">
        <v>868</v>
      </c>
      <c r="E478" s="35">
        <v>42462</v>
      </c>
      <c r="F478" s="144" t="s">
        <v>524</v>
      </c>
      <c r="G478" s="191" t="s">
        <v>207</v>
      </c>
      <c r="H478" s="198"/>
      <c r="I478" s="186"/>
      <c r="J478" s="186"/>
      <c r="K478" s="185"/>
      <c r="L478" s="186"/>
      <c r="M478" s="36">
        <v>904000</v>
      </c>
      <c r="N478" s="37"/>
      <c r="O478" s="37" t="s">
        <v>34</v>
      </c>
      <c r="P478" s="47" t="str">
        <f>IF(AND('331-CT'!$F$5=TH!H478,OR(N478="331",O478="331")),"x","")</f>
        <v/>
      </c>
      <c r="Q478" s="47" t="str">
        <f>IF(AND(B478='111'!$L$11,OR($N478=$Q$7,$O478=$Q$7)),"x","")</f>
        <v/>
      </c>
      <c r="R478" s="47" t="str">
        <f>IF(AND($N478=$Q$7,$B478&lt;'111'!$L$11),"x","")</f>
        <v/>
      </c>
      <c r="S478" s="47" t="str">
        <f>IF(AND($O478=$Q$7,$B478&lt;'111'!$L$11),"x","")</f>
        <v>x</v>
      </c>
    </row>
    <row r="479" spans="1:19" ht="15.75" customHeight="1">
      <c r="A479" s="152" t="str">
        <f>IF(B479&lt;&gt;"",IF(AND(B479='IN-TC'!$S$4,OR(TH!N479="1111",TH!O479="1111")),TH!D479,""),"")</f>
        <v/>
      </c>
      <c r="B479" s="34">
        <f t="shared" si="17"/>
        <v>4</v>
      </c>
      <c r="C479" s="35">
        <f t="shared" si="18"/>
        <v>42462</v>
      </c>
      <c r="D479" s="212" t="s">
        <v>869</v>
      </c>
      <c r="E479" s="35">
        <v>42462</v>
      </c>
      <c r="F479" s="144" t="s">
        <v>525</v>
      </c>
      <c r="G479" s="191" t="s">
        <v>110</v>
      </c>
      <c r="H479" s="198"/>
      <c r="I479" s="186"/>
      <c r="J479" s="186"/>
      <c r="K479" s="185"/>
      <c r="L479" s="186"/>
      <c r="M479" s="36">
        <v>3000000</v>
      </c>
      <c r="N479" s="37"/>
      <c r="O479" s="37" t="s">
        <v>34</v>
      </c>
      <c r="P479" s="47" t="str">
        <f>IF(AND('331-CT'!$F$5=TH!H479,OR(N479="331",O479="331")),"x","")</f>
        <v/>
      </c>
      <c r="Q479" s="47" t="str">
        <f>IF(AND(B479='111'!$L$11,OR($N479=$Q$7,$O479=$Q$7)),"x","")</f>
        <v/>
      </c>
      <c r="R479" s="47" t="str">
        <f>IF(AND($N479=$Q$7,$B479&lt;'111'!$L$11),"x","")</f>
        <v/>
      </c>
      <c r="S479" s="47" t="str">
        <f>IF(AND($O479=$Q$7,$B479&lt;'111'!$L$11),"x","")</f>
        <v>x</v>
      </c>
    </row>
    <row r="480" spans="1:19" ht="15.75" customHeight="1">
      <c r="A480" s="152" t="str">
        <f>IF(B480&lt;&gt;"",IF(AND(B480='IN-TC'!$S$4,OR(TH!N480="1111",TH!O480="1111")),TH!D480,""),"")</f>
        <v/>
      </c>
      <c r="B480" s="34">
        <f t="shared" si="17"/>
        <v>4</v>
      </c>
      <c r="C480" s="35">
        <f t="shared" si="18"/>
        <v>42462</v>
      </c>
      <c r="D480" s="212"/>
      <c r="E480" s="35">
        <v>42462</v>
      </c>
      <c r="F480" s="144" t="s">
        <v>1460</v>
      </c>
      <c r="G480" s="191"/>
      <c r="H480" s="198" t="s">
        <v>815</v>
      </c>
      <c r="I480" s="186">
        <v>429</v>
      </c>
      <c r="J480" s="186">
        <v>44000</v>
      </c>
      <c r="K480" s="185"/>
      <c r="L480" s="186"/>
      <c r="M480" s="36">
        <f>ROUND(I480*J480,0)</f>
        <v>18876000</v>
      </c>
      <c r="N480" s="37" t="s">
        <v>1443</v>
      </c>
      <c r="O480" s="37" t="s">
        <v>8</v>
      </c>
      <c r="P480" s="47" t="str">
        <f>IF(AND('331-CT'!$F$5=TH!H480,OR(N480="331",O480="331")),"x","")</f>
        <v/>
      </c>
      <c r="Q480" s="47" t="str">
        <f>IF(AND(B480='111'!$L$11,OR($N480=$Q$7,$O480=$Q$7)),"x","")</f>
        <v/>
      </c>
      <c r="R480" s="47" t="str">
        <f>IF(AND($N480=$Q$7,$B480&lt;'111'!$L$11),"x","")</f>
        <v/>
      </c>
      <c r="S480" s="47" t="str">
        <f>IF(AND($O480=$Q$7,$B480&lt;'111'!$L$11),"x","")</f>
        <v/>
      </c>
    </row>
    <row r="481" spans="1:19" ht="15.75" customHeight="1">
      <c r="A481" s="152" t="str">
        <f>IF(B481&lt;&gt;"",IF(AND(B481='IN-TC'!$S$4,OR(TH!N481="1111",TH!O481="1111")),TH!D481,""),"")</f>
        <v/>
      </c>
      <c r="B481" s="34">
        <f t="shared" si="17"/>
        <v>4</v>
      </c>
      <c r="C481" s="35">
        <f t="shared" si="18"/>
        <v>42462</v>
      </c>
      <c r="D481" s="212"/>
      <c r="E481" s="35">
        <v>42462</v>
      </c>
      <c r="F481" s="144" t="s">
        <v>1487</v>
      </c>
      <c r="G481" s="191" t="s">
        <v>204</v>
      </c>
      <c r="H481" s="198" t="s">
        <v>823</v>
      </c>
      <c r="I481" s="186">
        <v>2146</v>
      </c>
      <c r="J481" s="186">
        <v>54000</v>
      </c>
      <c r="K481" s="185"/>
      <c r="L481" s="186"/>
      <c r="M481" s="36">
        <f>ROUND(I481*J481,0)</f>
        <v>115884000</v>
      </c>
      <c r="N481" s="37" t="s">
        <v>1443</v>
      </c>
      <c r="O481" s="37" t="s">
        <v>8</v>
      </c>
      <c r="P481" s="47" t="str">
        <f>IF(AND('331-CT'!$F$5=TH!H481,OR(N481="331",O481="331")),"x","")</f>
        <v/>
      </c>
      <c r="Q481" s="47" t="str">
        <f>IF(AND(B481='111'!$L$11,OR($N481=$Q$7,$O481=$Q$7)),"x","")</f>
        <v/>
      </c>
      <c r="R481" s="47" t="str">
        <f>IF(AND($N481=$Q$7,$B481&lt;'111'!$L$11),"x","")</f>
        <v/>
      </c>
      <c r="S481" s="47" t="str">
        <f>IF(AND($O481=$Q$7,$B481&lt;'111'!$L$11),"x","")</f>
        <v/>
      </c>
    </row>
    <row r="482" spans="1:19" ht="15.75" customHeight="1">
      <c r="A482" s="152" t="str">
        <f>IF(B482&lt;&gt;"",IF(AND(B482='IN-TC'!$S$4,OR(TH!N482="1111",TH!O482="1111")),TH!D482,""),"")</f>
        <v/>
      </c>
      <c r="B482" s="34">
        <f t="shared" si="17"/>
        <v>4</v>
      </c>
      <c r="C482" s="35">
        <f t="shared" si="18"/>
        <v>42463</v>
      </c>
      <c r="D482" s="212"/>
      <c r="E482" s="35">
        <v>42463</v>
      </c>
      <c r="F482" s="144" t="s">
        <v>1460</v>
      </c>
      <c r="G482" s="191"/>
      <c r="H482" s="198" t="s">
        <v>815</v>
      </c>
      <c r="I482" s="186">
        <v>85</v>
      </c>
      <c r="J482" s="186">
        <v>44000</v>
      </c>
      <c r="K482" s="185"/>
      <c r="L482" s="186"/>
      <c r="M482" s="36">
        <f>ROUND(I482*J482,0)</f>
        <v>3740000</v>
      </c>
      <c r="N482" s="37" t="s">
        <v>1443</v>
      </c>
      <c r="O482" s="37" t="s">
        <v>8</v>
      </c>
      <c r="P482" s="47" t="str">
        <f>IF(AND('331-CT'!$F$5=TH!H482,OR(N482="331",O482="331")),"x","")</f>
        <v/>
      </c>
      <c r="Q482" s="47" t="str">
        <f>IF(AND(B482='111'!$L$11,OR($N482=$Q$7,$O482=$Q$7)),"x","")</f>
        <v/>
      </c>
      <c r="R482" s="47" t="str">
        <f>IF(AND($N482=$Q$7,$B482&lt;'111'!$L$11),"x","")</f>
        <v/>
      </c>
      <c r="S482" s="47" t="str">
        <f>IF(AND($O482=$Q$7,$B482&lt;'111'!$L$11),"x","")</f>
        <v/>
      </c>
    </row>
    <row r="483" spans="1:19" ht="15.75" customHeight="1">
      <c r="A483" s="152" t="str">
        <f>IF(B483&lt;&gt;"",IF(AND(B483='IN-TC'!$S$4,OR(TH!N483="1111",TH!O483="1111")),TH!D483,""),"")</f>
        <v/>
      </c>
      <c r="B483" s="34">
        <f t="shared" si="17"/>
        <v>4</v>
      </c>
      <c r="C483" s="35">
        <f t="shared" si="18"/>
        <v>42463</v>
      </c>
      <c r="D483" s="212"/>
      <c r="E483" s="35">
        <v>42463</v>
      </c>
      <c r="F483" s="144" t="s">
        <v>1461</v>
      </c>
      <c r="G483" s="191"/>
      <c r="H483" s="198" t="s">
        <v>815</v>
      </c>
      <c r="I483" s="186">
        <v>1910</v>
      </c>
      <c r="J483" s="186">
        <v>40000</v>
      </c>
      <c r="K483" s="185"/>
      <c r="L483" s="186"/>
      <c r="M483" s="36">
        <f>ROUND(I483*J483,0)</f>
        <v>76400000</v>
      </c>
      <c r="N483" s="37" t="s">
        <v>1443</v>
      </c>
      <c r="O483" s="37" t="s">
        <v>8</v>
      </c>
      <c r="P483" s="47" t="str">
        <f>IF(AND('331-CT'!$F$5=TH!H483,OR(N483="331",O483="331")),"x","")</f>
        <v/>
      </c>
      <c r="Q483" s="47" t="str">
        <f>IF(AND(B483='111'!$L$11,OR($N483=$Q$7,$O483=$Q$7)),"x","")</f>
        <v/>
      </c>
      <c r="R483" s="47" t="str">
        <f>IF(AND($N483=$Q$7,$B483&lt;'111'!$L$11),"x","")</f>
        <v/>
      </c>
      <c r="S483" s="47" t="str">
        <f>IF(AND($O483=$Q$7,$B483&lt;'111'!$L$11),"x","")</f>
        <v/>
      </c>
    </row>
    <row r="484" spans="1:19" ht="15.75" customHeight="1">
      <c r="A484" s="152" t="str">
        <f>IF(B484&lt;&gt;"",IF(AND(B484='IN-TC'!$S$4,OR(TH!N484="1111",TH!O484="1111")),TH!D484,""),"")</f>
        <v/>
      </c>
      <c r="B484" s="34">
        <f t="shared" si="17"/>
        <v>4</v>
      </c>
      <c r="C484" s="35">
        <f t="shared" si="18"/>
        <v>42464</v>
      </c>
      <c r="D484" s="212" t="s">
        <v>870</v>
      </c>
      <c r="E484" s="35">
        <v>42464</v>
      </c>
      <c r="F484" s="144" t="s">
        <v>526</v>
      </c>
      <c r="G484" s="191" t="s">
        <v>212</v>
      </c>
      <c r="H484" s="198"/>
      <c r="I484" s="186"/>
      <c r="J484" s="186"/>
      <c r="K484" s="185"/>
      <c r="L484" s="186"/>
      <c r="M484" s="36">
        <v>61893000</v>
      </c>
      <c r="N484" s="37"/>
      <c r="O484" s="37" t="s">
        <v>34</v>
      </c>
      <c r="P484" s="47" t="str">
        <f>IF(AND('331-CT'!$F$5=TH!H484,OR(N484="331",O484="331")),"x","")</f>
        <v/>
      </c>
      <c r="Q484" s="47" t="str">
        <f>IF(AND(B484='111'!$L$11,OR($N484=$Q$7,$O484=$Q$7)),"x","")</f>
        <v/>
      </c>
      <c r="R484" s="47" t="str">
        <f>IF(AND($N484=$Q$7,$B484&lt;'111'!$L$11),"x","")</f>
        <v/>
      </c>
      <c r="S484" s="47" t="str">
        <f>IF(AND($O484=$Q$7,$B484&lt;'111'!$L$11),"x","")</f>
        <v>x</v>
      </c>
    </row>
    <row r="485" spans="1:19" ht="15.75" customHeight="1">
      <c r="A485" s="152" t="str">
        <f>IF(B485&lt;&gt;"",IF(AND(B485='IN-TC'!$S$4,OR(TH!N485="1111",TH!O485="1111")),TH!D485,""),"")</f>
        <v/>
      </c>
      <c r="B485" s="34">
        <f t="shared" si="17"/>
        <v>4</v>
      </c>
      <c r="C485" s="35">
        <f t="shared" si="18"/>
        <v>42464</v>
      </c>
      <c r="D485" s="212" t="s">
        <v>871</v>
      </c>
      <c r="E485" s="35">
        <v>42464</v>
      </c>
      <c r="F485" s="144" t="s">
        <v>527</v>
      </c>
      <c r="G485" s="191" t="s">
        <v>204</v>
      </c>
      <c r="H485" s="198"/>
      <c r="I485" s="186"/>
      <c r="J485" s="186"/>
      <c r="K485" s="185"/>
      <c r="L485" s="186"/>
      <c r="M485" s="36">
        <v>20011000</v>
      </c>
      <c r="N485" s="37"/>
      <c r="O485" s="37" t="s">
        <v>34</v>
      </c>
      <c r="P485" s="47" t="str">
        <f>IF(AND('331-CT'!$F$5=TH!H485,OR(N485="331",O485="331")),"x","")</f>
        <v/>
      </c>
      <c r="Q485" s="47" t="str">
        <f>IF(AND(B485='111'!$L$11,OR($N485=$Q$7,$O485=$Q$7)),"x","")</f>
        <v/>
      </c>
      <c r="R485" s="47" t="str">
        <f>IF(AND($N485=$Q$7,$B485&lt;'111'!$L$11),"x","")</f>
        <v/>
      </c>
      <c r="S485" s="47" t="str">
        <f>IF(AND($O485=$Q$7,$B485&lt;'111'!$L$11),"x","")</f>
        <v>x</v>
      </c>
    </row>
    <row r="486" spans="1:19" ht="15.75" customHeight="1">
      <c r="A486" s="152" t="str">
        <f>IF(B486&lt;&gt;"",IF(AND(B486='IN-TC'!$S$4,OR(TH!N486="1111",TH!O486="1111")),TH!D486,""),"")</f>
        <v/>
      </c>
      <c r="B486" s="34">
        <f t="shared" si="17"/>
        <v>4</v>
      </c>
      <c r="C486" s="35">
        <f t="shared" si="18"/>
        <v>42464</v>
      </c>
      <c r="D486" s="212" t="s">
        <v>872</v>
      </c>
      <c r="E486" s="35">
        <v>42464</v>
      </c>
      <c r="F486" s="144" t="s">
        <v>528</v>
      </c>
      <c r="G486" s="191" t="s">
        <v>204</v>
      </c>
      <c r="H486" s="198"/>
      <c r="I486" s="186"/>
      <c r="J486" s="186"/>
      <c r="K486" s="185"/>
      <c r="L486" s="186"/>
      <c r="M486" s="36">
        <v>4115000</v>
      </c>
      <c r="N486" s="37"/>
      <c r="O486" s="37" t="s">
        <v>34</v>
      </c>
      <c r="P486" s="47" t="str">
        <f>IF(AND('331-CT'!$F$5=TH!H486,OR(N486="331",O486="331")),"x","")</f>
        <v/>
      </c>
      <c r="Q486" s="47" t="str">
        <f>IF(AND(B486='111'!$L$11,OR($N486=$Q$7,$O486=$Q$7)),"x","")</f>
        <v/>
      </c>
      <c r="R486" s="47" t="str">
        <f>IF(AND($N486=$Q$7,$B486&lt;'111'!$L$11),"x","")</f>
        <v/>
      </c>
      <c r="S486" s="47" t="str">
        <f>IF(AND($O486=$Q$7,$B486&lt;'111'!$L$11),"x","")</f>
        <v>x</v>
      </c>
    </row>
    <row r="487" spans="1:19" ht="15.75" customHeight="1">
      <c r="A487" s="152" t="str">
        <f>IF(B487&lt;&gt;"",IF(AND(B487='IN-TC'!$S$4,OR(TH!N487="1111",TH!O487="1111")),TH!D487,""),"")</f>
        <v/>
      </c>
      <c r="B487" s="34">
        <f t="shared" si="17"/>
        <v>4</v>
      </c>
      <c r="C487" s="35">
        <f t="shared" si="18"/>
        <v>42464</v>
      </c>
      <c r="D487" s="212" t="s">
        <v>873</v>
      </c>
      <c r="E487" s="35">
        <v>42464</v>
      </c>
      <c r="F487" s="144" t="s">
        <v>332</v>
      </c>
      <c r="G487" s="191" t="s">
        <v>206</v>
      </c>
      <c r="H487" s="198" t="s">
        <v>829</v>
      </c>
      <c r="I487" s="186"/>
      <c r="J487" s="186"/>
      <c r="K487" s="185"/>
      <c r="L487" s="186"/>
      <c r="M487" s="36">
        <v>150000000</v>
      </c>
      <c r="N487" s="37" t="s">
        <v>8</v>
      </c>
      <c r="O487" s="37" t="s">
        <v>34</v>
      </c>
      <c r="P487" s="47" t="str">
        <f>IF(AND('331-CT'!$F$5=TH!H487,OR(N487="331",O487="331")),"x","")</f>
        <v/>
      </c>
      <c r="Q487" s="47" t="str">
        <f>IF(AND(B487='111'!$L$11,OR($N487=$Q$7,$O487=$Q$7)),"x","")</f>
        <v/>
      </c>
      <c r="R487" s="47" t="str">
        <f>IF(AND($N487=$Q$7,$B487&lt;'111'!$L$11),"x","")</f>
        <v/>
      </c>
      <c r="S487" s="47" t="str">
        <f>IF(AND($O487=$Q$7,$B487&lt;'111'!$L$11),"x","")</f>
        <v>x</v>
      </c>
    </row>
    <row r="488" spans="1:19" ht="15.75" customHeight="1">
      <c r="A488" s="152" t="str">
        <f>IF(B488&lt;&gt;"",IF(AND(B488='IN-TC'!$S$4,OR(TH!N488="1111",TH!O488="1111")),TH!D488,""),"")</f>
        <v/>
      </c>
      <c r="B488" s="34">
        <f t="shared" si="17"/>
        <v>4</v>
      </c>
      <c r="C488" s="35">
        <f t="shared" si="18"/>
        <v>42464</v>
      </c>
      <c r="D488" s="212" t="s">
        <v>873</v>
      </c>
      <c r="E488" s="35">
        <v>42464</v>
      </c>
      <c r="F488" s="144" t="s">
        <v>1424</v>
      </c>
      <c r="G488" s="191"/>
      <c r="H488" s="198"/>
      <c r="I488" s="186"/>
      <c r="J488" s="186"/>
      <c r="K488" s="185"/>
      <c r="L488" s="186"/>
      <c r="M488" s="36">
        <v>45000</v>
      </c>
      <c r="N488" s="37" t="s">
        <v>1425</v>
      </c>
      <c r="O488" s="37" t="s">
        <v>34</v>
      </c>
      <c r="P488" s="47" t="str">
        <f>IF(AND('331-CT'!$F$5=TH!H488,OR(N488="331",O488="331")),"x","")</f>
        <v/>
      </c>
      <c r="Q488" s="47" t="str">
        <f>IF(AND(B488='111'!$L$11,OR($N488=$Q$7,$O488=$Q$7)),"x","")</f>
        <v/>
      </c>
      <c r="R488" s="47" t="str">
        <f>IF(AND($N488=$Q$7,$B488&lt;'111'!$L$11),"x","")</f>
        <v/>
      </c>
      <c r="S488" s="47" t="str">
        <f>IF(AND($O488=$Q$7,$B488&lt;'111'!$L$11),"x","")</f>
        <v>x</v>
      </c>
    </row>
    <row r="489" spans="1:19" ht="15.75" customHeight="1">
      <c r="A489" s="152" t="str">
        <f>IF(B489&lt;&gt;"",IF(AND(B489='IN-TC'!$S$4,OR(TH!N489="1111",TH!O489="1111")),TH!D489,""),"")</f>
        <v/>
      </c>
      <c r="B489" s="34">
        <f t="shared" si="17"/>
        <v>4</v>
      </c>
      <c r="C489" s="35">
        <f t="shared" si="18"/>
        <v>42464</v>
      </c>
      <c r="D489" s="212" t="s">
        <v>874</v>
      </c>
      <c r="E489" s="35">
        <v>42464</v>
      </c>
      <c r="F489" s="144" t="s">
        <v>529</v>
      </c>
      <c r="G489" s="191" t="s">
        <v>206</v>
      </c>
      <c r="H489" s="198" t="s">
        <v>832</v>
      </c>
      <c r="I489" s="186"/>
      <c r="J489" s="186"/>
      <c r="K489" s="185"/>
      <c r="L489" s="186"/>
      <c r="M489" s="36">
        <v>70000000</v>
      </c>
      <c r="N489" s="37" t="s">
        <v>8</v>
      </c>
      <c r="O489" s="37" t="s">
        <v>34</v>
      </c>
      <c r="P489" s="47" t="str">
        <f>IF(AND('331-CT'!$F$5=TH!H489,OR(N489="331",O489="331")),"x","")</f>
        <v/>
      </c>
      <c r="Q489" s="47" t="str">
        <f>IF(AND(B489='111'!$L$11,OR($N489=$Q$7,$O489=$Q$7)),"x","")</f>
        <v/>
      </c>
      <c r="R489" s="47" t="str">
        <f>IF(AND($N489=$Q$7,$B489&lt;'111'!$L$11),"x","")</f>
        <v/>
      </c>
      <c r="S489" s="47" t="str">
        <f>IF(AND($O489=$Q$7,$B489&lt;'111'!$L$11),"x","")</f>
        <v>x</v>
      </c>
    </row>
    <row r="490" spans="1:19" ht="15.75" customHeight="1">
      <c r="A490" s="152" t="str">
        <f>IF(B490&lt;&gt;"",IF(AND(B490='IN-TC'!$S$4,OR(TH!N490="1111",TH!O490="1111")),TH!D490,""),"")</f>
        <v/>
      </c>
      <c r="B490" s="34">
        <f t="shared" si="17"/>
        <v>4</v>
      </c>
      <c r="C490" s="35">
        <f t="shared" si="18"/>
        <v>42464</v>
      </c>
      <c r="D490" s="212" t="s">
        <v>874</v>
      </c>
      <c r="E490" s="35">
        <v>42464</v>
      </c>
      <c r="F490" s="144" t="s">
        <v>1424</v>
      </c>
      <c r="G490" s="191"/>
      <c r="H490" s="198"/>
      <c r="I490" s="186"/>
      <c r="J490" s="186"/>
      <c r="K490" s="185"/>
      <c r="L490" s="186"/>
      <c r="M490" s="36">
        <v>35000</v>
      </c>
      <c r="N490" s="37" t="s">
        <v>1425</v>
      </c>
      <c r="O490" s="37" t="s">
        <v>34</v>
      </c>
      <c r="P490" s="47" t="str">
        <f>IF(AND('331-CT'!$F$5=TH!H490,OR(N490="331",O490="331")),"x","")</f>
        <v/>
      </c>
      <c r="Q490" s="47" t="str">
        <f>IF(AND(B490='111'!$L$11,OR($N490=$Q$7,$O490=$Q$7)),"x","")</f>
        <v/>
      </c>
      <c r="R490" s="47" t="str">
        <f>IF(AND($N490=$Q$7,$B490&lt;'111'!$L$11),"x","")</f>
        <v/>
      </c>
      <c r="S490" s="47" t="str">
        <f>IF(AND($O490=$Q$7,$B490&lt;'111'!$L$11),"x","")</f>
        <v>x</v>
      </c>
    </row>
    <row r="491" spans="1:19" ht="15.75" customHeight="1">
      <c r="A491" s="152" t="str">
        <f>IF(B491&lt;&gt;"",IF(AND(B491='IN-TC'!$S$4,OR(TH!N491="1111",TH!O491="1111")),TH!D491,""),"")</f>
        <v/>
      </c>
      <c r="B491" s="34">
        <f t="shared" si="17"/>
        <v>4</v>
      </c>
      <c r="C491" s="35">
        <f t="shared" si="18"/>
        <v>42464</v>
      </c>
      <c r="D491" s="212"/>
      <c r="E491" s="35">
        <v>42464</v>
      </c>
      <c r="F491" s="144" t="s">
        <v>1516</v>
      </c>
      <c r="G491" s="191" t="s">
        <v>848</v>
      </c>
      <c r="H491" s="198" t="s">
        <v>829</v>
      </c>
      <c r="I491" s="186"/>
      <c r="J491" s="186"/>
      <c r="K491" s="185"/>
      <c r="L491" s="186"/>
      <c r="M491" s="36">
        <v>18000000</v>
      </c>
      <c r="N491" s="37" t="s">
        <v>1443</v>
      </c>
      <c r="O491" s="37" t="s">
        <v>8</v>
      </c>
      <c r="P491" s="47" t="str">
        <f>IF(AND('331-CT'!$F$5=TH!H491,OR(N491="331",O491="331")),"x","")</f>
        <v/>
      </c>
      <c r="Q491" s="47" t="str">
        <f>IF(AND(B491='111'!$L$11,OR($N491=$Q$7,$O491=$Q$7)),"x","")</f>
        <v/>
      </c>
      <c r="R491" s="47" t="str">
        <f>IF(AND($N491=$Q$7,$B491&lt;'111'!$L$11),"x","")</f>
        <v/>
      </c>
      <c r="S491" s="47" t="str">
        <f>IF(AND($O491=$Q$7,$B491&lt;'111'!$L$11),"x","")</f>
        <v/>
      </c>
    </row>
    <row r="492" spans="1:19" ht="15.75" customHeight="1">
      <c r="A492" s="152" t="str">
        <f>IF(B492&lt;&gt;"",IF(AND(B492='IN-TC'!$S$4,OR(TH!N492="1111",TH!O492="1111")),TH!D492,""),"")</f>
        <v/>
      </c>
      <c r="B492" s="34">
        <f t="shared" si="17"/>
        <v>4</v>
      </c>
      <c r="C492" s="35">
        <f t="shared" si="18"/>
        <v>42465</v>
      </c>
      <c r="D492" s="212" t="s">
        <v>875</v>
      </c>
      <c r="E492" s="35">
        <v>42465</v>
      </c>
      <c r="F492" s="144" t="s">
        <v>530</v>
      </c>
      <c r="G492" s="191" t="s">
        <v>202</v>
      </c>
      <c r="H492" s="198"/>
      <c r="I492" s="186"/>
      <c r="J492" s="186"/>
      <c r="K492" s="185"/>
      <c r="L492" s="186"/>
      <c r="M492" s="36">
        <v>710000</v>
      </c>
      <c r="N492" s="37"/>
      <c r="O492" s="37" t="s">
        <v>34</v>
      </c>
      <c r="P492" s="47" t="str">
        <f>IF(AND('331-CT'!$F$5=TH!H492,OR(N492="331",O492="331")),"x","")</f>
        <v/>
      </c>
      <c r="Q492" s="47" t="str">
        <f>IF(AND(B492='111'!$L$11,OR($N492=$Q$7,$O492=$Q$7)),"x","")</f>
        <v/>
      </c>
      <c r="R492" s="47" t="str">
        <f>IF(AND($N492=$Q$7,$B492&lt;'111'!$L$11),"x","")</f>
        <v/>
      </c>
      <c r="S492" s="47" t="str">
        <f>IF(AND($O492=$Q$7,$B492&lt;'111'!$L$11),"x","")</f>
        <v>x</v>
      </c>
    </row>
    <row r="493" spans="1:19" ht="15.75" customHeight="1">
      <c r="A493" s="152" t="str">
        <f>IF(B493&lt;&gt;"",IF(AND(B493='IN-TC'!$S$4,OR(TH!N493="1111",TH!O493="1111")),TH!D493,""),"")</f>
        <v/>
      </c>
      <c r="B493" s="34">
        <f t="shared" si="17"/>
        <v>4</v>
      </c>
      <c r="C493" s="35">
        <f t="shared" si="18"/>
        <v>42465</v>
      </c>
      <c r="D493" s="212" t="s">
        <v>876</v>
      </c>
      <c r="E493" s="35">
        <v>42465</v>
      </c>
      <c r="F493" s="144" t="s">
        <v>531</v>
      </c>
      <c r="G493" s="191" t="s">
        <v>204</v>
      </c>
      <c r="H493" s="198"/>
      <c r="I493" s="186"/>
      <c r="J493" s="186"/>
      <c r="K493" s="185"/>
      <c r="L493" s="186"/>
      <c r="M493" s="36">
        <v>10000000</v>
      </c>
      <c r="N493" s="37"/>
      <c r="O493" s="37" t="s">
        <v>34</v>
      </c>
      <c r="P493" s="47" t="str">
        <f>IF(AND('331-CT'!$F$5=TH!H493,OR(N493="331",O493="331")),"x","")</f>
        <v/>
      </c>
      <c r="Q493" s="47" t="str">
        <f>IF(AND(B493='111'!$L$11,OR($N493=$Q$7,$O493=$Q$7)),"x","")</f>
        <v/>
      </c>
      <c r="R493" s="47" t="str">
        <f>IF(AND($N493=$Q$7,$B493&lt;'111'!$L$11),"x","")</f>
        <v/>
      </c>
      <c r="S493" s="47" t="str">
        <f>IF(AND($O493=$Q$7,$B493&lt;'111'!$L$11),"x","")</f>
        <v>x</v>
      </c>
    </row>
    <row r="494" spans="1:19" ht="15.75" customHeight="1">
      <c r="A494" s="152" t="str">
        <f>IF(B494&lt;&gt;"",IF(AND(B494='IN-TC'!$S$4,OR(TH!N494="1111",TH!O494="1111")),TH!D494,""),"")</f>
        <v/>
      </c>
      <c r="B494" s="34">
        <f t="shared" si="17"/>
        <v>4</v>
      </c>
      <c r="C494" s="35">
        <f t="shared" si="18"/>
        <v>42465</v>
      </c>
      <c r="D494" s="212" t="s">
        <v>877</v>
      </c>
      <c r="E494" s="35">
        <v>42465</v>
      </c>
      <c r="F494" s="144" t="s">
        <v>532</v>
      </c>
      <c r="G494" s="191" t="s">
        <v>202</v>
      </c>
      <c r="H494" s="198"/>
      <c r="I494" s="186"/>
      <c r="J494" s="186"/>
      <c r="K494" s="185"/>
      <c r="L494" s="186"/>
      <c r="M494" s="36">
        <v>1000000</v>
      </c>
      <c r="N494" s="37"/>
      <c r="O494" s="37" t="s">
        <v>34</v>
      </c>
      <c r="P494" s="47" t="str">
        <f>IF(AND('331-CT'!$F$5=TH!H494,OR(N494="331",O494="331")),"x","")</f>
        <v/>
      </c>
      <c r="Q494" s="47" t="str">
        <f>IF(AND(B494='111'!$L$11,OR($N494=$Q$7,$O494=$Q$7)),"x","")</f>
        <v/>
      </c>
      <c r="R494" s="47" t="str">
        <f>IF(AND($N494=$Q$7,$B494&lt;'111'!$L$11),"x","")</f>
        <v/>
      </c>
      <c r="S494" s="47" t="str">
        <f>IF(AND($O494=$Q$7,$B494&lt;'111'!$L$11),"x","")</f>
        <v>x</v>
      </c>
    </row>
    <row r="495" spans="1:19" ht="15.75" customHeight="1">
      <c r="A495" s="152" t="str">
        <f>IF(B495&lt;&gt;"",IF(AND(B495='IN-TC'!$S$4,OR(TH!N495="1111",TH!O495="1111")),TH!D495,""),"")</f>
        <v/>
      </c>
      <c r="B495" s="34">
        <f t="shared" si="17"/>
        <v>4</v>
      </c>
      <c r="C495" s="35">
        <f t="shared" si="18"/>
        <v>42465</v>
      </c>
      <c r="D495" s="212" t="s">
        <v>878</v>
      </c>
      <c r="E495" s="35">
        <v>42465</v>
      </c>
      <c r="F495" s="144" t="s">
        <v>533</v>
      </c>
      <c r="G495" s="191" t="s">
        <v>215</v>
      </c>
      <c r="H495" s="198"/>
      <c r="I495" s="186"/>
      <c r="J495" s="186"/>
      <c r="K495" s="185"/>
      <c r="L495" s="186"/>
      <c r="M495" s="36">
        <v>5000000</v>
      </c>
      <c r="N495" s="37"/>
      <c r="O495" s="37" t="s">
        <v>34</v>
      </c>
      <c r="P495" s="47" t="str">
        <f>IF(AND('331-CT'!$F$5=TH!H495,OR(N495="331",O495="331")),"x","")</f>
        <v/>
      </c>
      <c r="Q495" s="47" t="str">
        <f>IF(AND(B495='111'!$L$11,OR($N495=$Q$7,$O495=$Q$7)),"x","")</f>
        <v/>
      </c>
      <c r="R495" s="47" t="str">
        <f>IF(AND($N495=$Q$7,$B495&lt;'111'!$L$11),"x","")</f>
        <v/>
      </c>
      <c r="S495" s="47" t="str">
        <f>IF(AND($O495=$Q$7,$B495&lt;'111'!$L$11),"x","")</f>
        <v>x</v>
      </c>
    </row>
    <row r="496" spans="1:19" ht="15.75" customHeight="1">
      <c r="A496" s="152" t="str">
        <f>IF(B496&lt;&gt;"",IF(AND(B496='IN-TC'!$S$4,OR(TH!N496="1111",TH!O496="1111")),TH!D496,""),"")</f>
        <v/>
      </c>
      <c r="B496" s="34">
        <f t="shared" si="17"/>
        <v>4</v>
      </c>
      <c r="C496" s="35">
        <f t="shared" si="18"/>
        <v>42466</v>
      </c>
      <c r="D496" s="212" t="s">
        <v>879</v>
      </c>
      <c r="E496" s="35">
        <v>42466</v>
      </c>
      <c r="F496" s="144" t="s">
        <v>534</v>
      </c>
      <c r="G496" s="191" t="s">
        <v>204</v>
      </c>
      <c r="H496" s="198"/>
      <c r="I496" s="186"/>
      <c r="J496" s="186"/>
      <c r="K496" s="185"/>
      <c r="L496" s="186"/>
      <c r="M496" s="36">
        <v>19481000</v>
      </c>
      <c r="N496" s="37"/>
      <c r="O496" s="37" t="s">
        <v>34</v>
      </c>
      <c r="P496" s="47" t="str">
        <f>IF(AND('331-CT'!$F$5=TH!H496,OR(N496="331",O496="331")),"x","")</f>
        <v/>
      </c>
      <c r="Q496" s="47" t="str">
        <f>IF(AND(B496='111'!$L$11,OR($N496=$Q$7,$O496=$Q$7)),"x","")</f>
        <v/>
      </c>
      <c r="R496" s="47" t="str">
        <f>IF(AND($N496=$Q$7,$B496&lt;'111'!$L$11),"x","")</f>
        <v/>
      </c>
      <c r="S496" s="47" t="str">
        <f>IF(AND($O496=$Q$7,$B496&lt;'111'!$L$11),"x","")</f>
        <v>x</v>
      </c>
    </row>
    <row r="497" spans="1:19" ht="15.75" customHeight="1">
      <c r="A497" s="152" t="str">
        <f>IF(B497&lt;&gt;"",IF(AND(B497='IN-TC'!$S$4,OR(TH!N497="1111",TH!O497="1111")),TH!D497,""),"")</f>
        <v/>
      </c>
      <c r="B497" s="34">
        <f t="shared" si="17"/>
        <v>4</v>
      </c>
      <c r="C497" s="35">
        <f t="shared" si="18"/>
        <v>42466</v>
      </c>
      <c r="D497" s="212" t="s">
        <v>880</v>
      </c>
      <c r="E497" s="35">
        <v>42466</v>
      </c>
      <c r="F497" s="144" t="s">
        <v>535</v>
      </c>
      <c r="G497" s="191" t="s">
        <v>202</v>
      </c>
      <c r="H497" s="198"/>
      <c r="I497" s="186"/>
      <c r="J497" s="186"/>
      <c r="K497" s="185"/>
      <c r="L497" s="186"/>
      <c r="M497" s="36">
        <v>2300000</v>
      </c>
      <c r="N497" s="37"/>
      <c r="O497" s="37" t="s">
        <v>34</v>
      </c>
      <c r="P497" s="47" t="str">
        <f>IF(AND('331-CT'!$F$5=TH!H497,OR(N497="331",O497="331")),"x","")</f>
        <v/>
      </c>
      <c r="Q497" s="47" t="str">
        <f>IF(AND(B497='111'!$L$11,OR($N497=$Q$7,$O497=$Q$7)),"x","")</f>
        <v/>
      </c>
      <c r="R497" s="47" t="str">
        <f>IF(AND($N497=$Q$7,$B497&lt;'111'!$L$11),"x","")</f>
        <v/>
      </c>
      <c r="S497" s="47" t="str">
        <f>IF(AND($O497=$Q$7,$B497&lt;'111'!$L$11),"x","")</f>
        <v>x</v>
      </c>
    </row>
    <row r="498" spans="1:19" ht="15.75" customHeight="1">
      <c r="A498" s="152" t="str">
        <f>IF(B498&lt;&gt;"",IF(AND(B498='IN-TC'!$S$4,OR(TH!N498="1111",TH!O498="1111")),TH!D498,""),"")</f>
        <v/>
      </c>
      <c r="B498" s="34">
        <f t="shared" si="17"/>
        <v>4</v>
      </c>
      <c r="C498" s="35">
        <f t="shared" si="18"/>
        <v>42466</v>
      </c>
      <c r="D498" s="212" t="s">
        <v>881</v>
      </c>
      <c r="E498" s="35">
        <v>42466</v>
      </c>
      <c r="F498" s="144" t="s">
        <v>280</v>
      </c>
      <c r="G498" s="191" t="s">
        <v>221</v>
      </c>
      <c r="H498" s="198"/>
      <c r="I498" s="186"/>
      <c r="J498" s="186"/>
      <c r="K498" s="185"/>
      <c r="L498" s="186"/>
      <c r="M498" s="36">
        <v>7920000</v>
      </c>
      <c r="N498" s="37"/>
      <c r="O498" s="37" t="s">
        <v>34</v>
      </c>
      <c r="P498" s="47" t="str">
        <f>IF(AND('331-CT'!$F$5=TH!H498,OR(N498="331",O498="331")),"x","")</f>
        <v/>
      </c>
      <c r="Q498" s="47" t="str">
        <f>IF(AND(B498='111'!$L$11,OR($N498=$Q$7,$O498=$Q$7)),"x","")</f>
        <v/>
      </c>
      <c r="R498" s="47" t="str">
        <f>IF(AND($N498=$Q$7,$B498&lt;'111'!$L$11),"x","")</f>
        <v/>
      </c>
      <c r="S498" s="47" t="str">
        <f>IF(AND($O498=$Q$7,$B498&lt;'111'!$L$11),"x","")</f>
        <v>x</v>
      </c>
    </row>
    <row r="499" spans="1:19" ht="15.75" customHeight="1">
      <c r="A499" s="152" t="str">
        <f>IF(B499&lt;&gt;"",IF(AND(B499='IN-TC'!$S$4,OR(TH!N499="1111",TH!O499="1111")),TH!D499,""),"")</f>
        <v/>
      </c>
      <c r="B499" s="34">
        <f t="shared" si="17"/>
        <v>4</v>
      </c>
      <c r="C499" s="35">
        <f t="shared" si="18"/>
        <v>42466</v>
      </c>
      <c r="D499" s="212" t="s">
        <v>882</v>
      </c>
      <c r="E499" s="35">
        <v>42466</v>
      </c>
      <c r="F499" s="144" t="s">
        <v>1384</v>
      </c>
      <c r="G499" s="191" t="s">
        <v>203</v>
      </c>
      <c r="H499" s="198"/>
      <c r="I499" s="186"/>
      <c r="J499" s="186"/>
      <c r="K499" s="185"/>
      <c r="L499" s="186"/>
      <c r="M499" s="36">
        <v>7017000</v>
      </c>
      <c r="N499" s="37" t="s">
        <v>814</v>
      </c>
      <c r="O499" s="37" t="s">
        <v>34</v>
      </c>
      <c r="P499" s="47" t="str">
        <f>IF(AND('331-CT'!$F$5=TH!H499,OR(N499="331",O499="331")),"x","")</f>
        <v/>
      </c>
      <c r="Q499" s="47" t="str">
        <f>IF(AND(B499='111'!$L$11,OR($N499=$Q$7,$O499=$Q$7)),"x","")</f>
        <v/>
      </c>
      <c r="R499" s="47" t="str">
        <f>IF(AND($N499=$Q$7,$B499&lt;'111'!$L$11),"x","")</f>
        <v/>
      </c>
      <c r="S499" s="47" t="str">
        <f>IF(AND($O499=$Q$7,$B499&lt;'111'!$L$11),"x","")</f>
        <v>x</v>
      </c>
    </row>
    <row r="500" spans="1:19" ht="15.75" customHeight="1">
      <c r="A500" s="152" t="str">
        <f>IF(B500&lt;&gt;"",IF(AND(B500='IN-TC'!$S$4,OR(TH!N500="1111",TH!O500="1111")),TH!D500,""),"")</f>
        <v/>
      </c>
      <c r="B500" s="34">
        <f t="shared" si="17"/>
        <v>4</v>
      </c>
      <c r="C500" s="35">
        <f t="shared" si="18"/>
        <v>42467</v>
      </c>
      <c r="D500" s="212" t="s">
        <v>883</v>
      </c>
      <c r="E500" s="35">
        <v>42467</v>
      </c>
      <c r="F500" s="144" t="s">
        <v>536</v>
      </c>
      <c r="G500" s="191" t="s">
        <v>202</v>
      </c>
      <c r="H500" s="198"/>
      <c r="I500" s="186"/>
      <c r="J500" s="186"/>
      <c r="K500" s="185"/>
      <c r="L500" s="186"/>
      <c r="M500" s="36">
        <v>446000</v>
      </c>
      <c r="N500" s="37"/>
      <c r="O500" s="37" t="s">
        <v>34</v>
      </c>
      <c r="P500" s="47" t="str">
        <f>IF(AND('331-CT'!$F$5=TH!H500,OR(N500="331",O500="331")),"x","")</f>
        <v/>
      </c>
      <c r="Q500" s="47" t="str">
        <f>IF(AND(B500='111'!$L$11,OR($N500=$Q$7,$O500=$Q$7)),"x","")</f>
        <v/>
      </c>
      <c r="R500" s="47" t="str">
        <f>IF(AND($N500=$Q$7,$B500&lt;'111'!$L$11),"x","")</f>
        <v/>
      </c>
      <c r="S500" s="47" t="str">
        <f>IF(AND($O500=$Q$7,$B500&lt;'111'!$L$11),"x","")</f>
        <v>x</v>
      </c>
    </row>
    <row r="501" spans="1:19" ht="15.75" customHeight="1">
      <c r="A501" s="152" t="str">
        <f>IF(B501&lt;&gt;"",IF(AND(B501='IN-TC'!$S$4,OR(TH!N501="1111",TH!O501="1111")),TH!D501,""),"")</f>
        <v/>
      </c>
      <c r="B501" s="34">
        <f t="shared" si="17"/>
        <v>4</v>
      </c>
      <c r="C501" s="35">
        <f t="shared" si="18"/>
        <v>42467</v>
      </c>
      <c r="D501" s="212" t="s">
        <v>884</v>
      </c>
      <c r="E501" s="35">
        <v>42467</v>
      </c>
      <c r="F501" s="144" t="s">
        <v>537</v>
      </c>
      <c r="G501" s="191" t="s">
        <v>207</v>
      </c>
      <c r="H501" s="198"/>
      <c r="I501" s="186"/>
      <c r="J501" s="186"/>
      <c r="K501" s="185"/>
      <c r="L501" s="186"/>
      <c r="M501" s="36">
        <v>500000</v>
      </c>
      <c r="N501" s="37"/>
      <c r="O501" s="37" t="s">
        <v>34</v>
      </c>
      <c r="P501" s="47" t="str">
        <f>IF(AND('331-CT'!$F$5=TH!H501,OR(N501="331",O501="331")),"x","")</f>
        <v/>
      </c>
      <c r="Q501" s="47" t="str">
        <f>IF(AND(B501='111'!$L$11,OR($N501=$Q$7,$O501=$Q$7)),"x","")</f>
        <v/>
      </c>
      <c r="R501" s="47" t="str">
        <f>IF(AND($N501=$Q$7,$B501&lt;'111'!$L$11),"x","")</f>
        <v/>
      </c>
      <c r="S501" s="47" t="str">
        <f>IF(AND($O501=$Q$7,$B501&lt;'111'!$L$11),"x","")</f>
        <v>x</v>
      </c>
    </row>
    <row r="502" spans="1:19" ht="15.75" customHeight="1">
      <c r="A502" s="152" t="str">
        <f>IF(B502&lt;&gt;"",IF(AND(B502='IN-TC'!$S$4,OR(TH!N502="1111",TH!O502="1111")),TH!D502,""),"")</f>
        <v/>
      </c>
      <c r="B502" s="34">
        <f t="shared" si="17"/>
        <v>4</v>
      </c>
      <c r="C502" s="35">
        <f t="shared" si="18"/>
        <v>42467</v>
      </c>
      <c r="D502" s="212" t="s">
        <v>885</v>
      </c>
      <c r="E502" s="35">
        <v>42467</v>
      </c>
      <c r="F502" s="144" t="s">
        <v>538</v>
      </c>
      <c r="G502" s="191" t="s">
        <v>216</v>
      </c>
      <c r="H502" s="198"/>
      <c r="I502" s="186"/>
      <c r="J502" s="186"/>
      <c r="K502" s="185"/>
      <c r="L502" s="186"/>
      <c r="M502" s="36">
        <v>500000</v>
      </c>
      <c r="N502" s="37"/>
      <c r="O502" s="37" t="s">
        <v>34</v>
      </c>
      <c r="P502" s="47" t="str">
        <f>IF(AND('331-CT'!$F$5=TH!H502,OR(N502="331",O502="331")),"x","")</f>
        <v/>
      </c>
      <c r="Q502" s="47" t="str">
        <f>IF(AND(B502='111'!$L$11,OR($N502=$Q$7,$O502=$Q$7)),"x","")</f>
        <v/>
      </c>
      <c r="R502" s="47" t="str">
        <f>IF(AND($N502=$Q$7,$B502&lt;'111'!$L$11),"x","")</f>
        <v/>
      </c>
      <c r="S502" s="47" t="str">
        <f>IF(AND($O502=$Q$7,$B502&lt;'111'!$L$11),"x","")</f>
        <v>x</v>
      </c>
    </row>
    <row r="503" spans="1:19" ht="15.75" customHeight="1">
      <c r="A503" s="152" t="str">
        <f>IF(B503&lt;&gt;"",IF(AND(B503='IN-TC'!$S$4,OR(TH!N503="1111",TH!O503="1111")),TH!D503,""),"")</f>
        <v/>
      </c>
      <c r="B503" s="34">
        <f t="shared" si="17"/>
        <v>4</v>
      </c>
      <c r="C503" s="35">
        <f t="shared" si="18"/>
        <v>42467</v>
      </c>
      <c r="D503" s="212" t="s">
        <v>886</v>
      </c>
      <c r="E503" s="35">
        <v>42467</v>
      </c>
      <c r="F503" s="144" t="s">
        <v>539</v>
      </c>
      <c r="G503" s="191" t="s">
        <v>214</v>
      </c>
      <c r="H503" s="198"/>
      <c r="I503" s="186"/>
      <c r="J503" s="186"/>
      <c r="K503" s="185"/>
      <c r="L503" s="186"/>
      <c r="M503" s="36">
        <v>550000</v>
      </c>
      <c r="N503" s="37"/>
      <c r="O503" s="37" t="s">
        <v>34</v>
      </c>
      <c r="P503" s="47" t="str">
        <f>IF(AND('331-CT'!$F$5=TH!H503,OR(N503="331",O503="331")),"x","")</f>
        <v/>
      </c>
      <c r="Q503" s="47" t="str">
        <f>IF(AND(B503='111'!$L$11,OR($N503=$Q$7,$O503=$Q$7)),"x","")</f>
        <v/>
      </c>
      <c r="R503" s="47" t="str">
        <f>IF(AND($N503=$Q$7,$B503&lt;'111'!$L$11),"x","")</f>
        <v/>
      </c>
      <c r="S503" s="47" t="str">
        <f>IF(AND($O503=$Q$7,$B503&lt;'111'!$L$11),"x","")</f>
        <v>x</v>
      </c>
    </row>
    <row r="504" spans="1:19" ht="15.75" customHeight="1">
      <c r="A504" s="152" t="str">
        <f>IF(B504&lt;&gt;"",IF(AND(B504='IN-TC'!$S$4,OR(TH!N504="1111",TH!O504="1111")),TH!D504,""),"")</f>
        <v/>
      </c>
      <c r="B504" s="34">
        <f t="shared" si="17"/>
        <v>4</v>
      </c>
      <c r="C504" s="35">
        <f t="shared" si="18"/>
        <v>42467</v>
      </c>
      <c r="D504" s="212" t="s">
        <v>887</v>
      </c>
      <c r="E504" s="35">
        <v>42467</v>
      </c>
      <c r="F504" s="144" t="s">
        <v>540</v>
      </c>
      <c r="G504" s="191" t="s">
        <v>204</v>
      </c>
      <c r="H504" s="198"/>
      <c r="I504" s="186"/>
      <c r="J504" s="186"/>
      <c r="K504" s="185"/>
      <c r="L504" s="186"/>
      <c r="M504" s="36">
        <v>5750000</v>
      </c>
      <c r="N504" s="37"/>
      <c r="O504" s="37" t="s">
        <v>34</v>
      </c>
      <c r="P504" s="47" t="str">
        <f>IF(AND('331-CT'!$F$5=TH!H504,OR(N504="331",O504="331")),"x","")</f>
        <v/>
      </c>
      <c r="Q504" s="47" t="str">
        <f>IF(AND(B504='111'!$L$11,OR($N504=$Q$7,$O504=$Q$7)),"x","")</f>
        <v/>
      </c>
      <c r="R504" s="47" t="str">
        <f>IF(AND($N504=$Q$7,$B504&lt;'111'!$L$11),"x","")</f>
        <v/>
      </c>
      <c r="S504" s="47" t="str">
        <f>IF(AND($O504=$Q$7,$B504&lt;'111'!$L$11),"x","")</f>
        <v>x</v>
      </c>
    </row>
    <row r="505" spans="1:19" ht="15.75" customHeight="1">
      <c r="A505" s="152" t="str">
        <f>IF(B505&lt;&gt;"",IF(AND(B505='IN-TC'!$S$4,OR(TH!N505="1111",TH!O505="1111")),TH!D505,""),"")</f>
        <v/>
      </c>
      <c r="B505" s="34">
        <f t="shared" si="17"/>
        <v>4</v>
      </c>
      <c r="C505" s="35">
        <f t="shared" si="18"/>
        <v>42467</v>
      </c>
      <c r="D505" s="212"/>
      <c r="E505" s="35">
        <v>42467</v>
      </c>
      <c r="F505" s="144" t="s">
        <v>1461</v>
      </c>
      <c r="G505" s="191"/>
      <c r="H505" s="198" t="s">
        <v>815</v>
      </c>
      <c r="I505" s="186">
        <v>2260</v>
      </c>
      <c r="J505" s="186">
        <v>39000</v>
      </c>
      <c r="K505" s="185"/>
      <c r="L505" s="186"/>
      <c r="M505" s="36">
        <f>ROUND(I505*J505,0)</f>
        <v>88140000</v>
      </c>
      <c r="N505" s="37" t="s">
        <v>1443</v>
      </c>
      <c r="O505" s="37" t="s">
        <v>8</v>
      </c>
      <c r="P505" s="47" t="str">
        <f>IF(AND('331-CT'!$F$5=TH!H505,OR(N505="331",O505="331")),"x","")</f>
        <v/>
      </c>
      <c r="Q505" s="47" t="str">
        <f>IF(AND(B505='111'!$L$11,OR($N505=$Q$7,$O505=$Q$7)),"x","")</f>
        <v/>
      </c>
      <c r="R505" s="47" t="str">
        <f>IF(AND($N505=$Q$7,$B505&lt;'111'!$L$11),"x","")</f>
        <v/>
      </c>
      <c r="S505" s="47" t="str">
        <f>IF(AND($O505=$Q$7,$B505&lt;'111'!$L$11),"x","")</f>
        <v/>
      </c>
    </row>
    <row r="506" spans="1:19" ht="15.75" customHeight="1">
      <c r="A506" s="152" t="str">
        <f>IF(B506&lt;&gt;"",IF(AND(B506='IN-TC'!$S$4,OR(TH!N506="1111",TH!O506="1111")),TH!D506,""),"")</f>
        <v/>
      </c>
      <c r="B506" s="34">
        <f t="shared" si="17"/>
        <v>4</v>
      </c>
      <c r="C506" s="35">
        <f t="shared" si="18"/>
        <v>42467</v>
      </c>
      <c r="D506" s="212"/>
      <c r="E506" s="35">
        <v>42467</v>
      </c>
      <c r="F506" s="144" t="s">
        <v>1462</v>
      </c>
      <c r="G506" s="191"/>
      <c r="H506" s="198" t="s">
        <v>815</v>
      </c>
      <c r="I506" s="186">
        <v>338</v>
      </c>
      <c r="J506" s="186">
        <v>35000</v>
      </c>
      <c r="K506" s="185"/>
      <c r="L506" s="186"/>
      <c r="M506" s="36">
        <f>ROUND(I506*J506,0)</f>
        <v>11830000</v>
      </c>
      <c r="N506" s="37" t="s">
        <v>1443</v>
      </c>
      <c r="O506" s="37" t="s">
        <v>8</v>
      </c>
      <c r="P506" s="47" t="str">
        <f>IF(AND('331-CT'!$F$5=TH!H506,OR(N506="331",O506="331")),"x","")</f>
        <v/>
      </c>
      <c r="Q506" s="47" t="str">
        <f>IF(AND(B506='111'!$L$11,OR($N506=$Q$7,$O506=$Q$7)),"x","")</f>
        <v/>
      </c>
      <c r="R506" s="47" t="str">
        <f>IF(AND($N506=$Q$7,$B506&lt;'111'!$L$11),"x","")</f>
        <v/>
      </c>
      <c r="S506" s="47" t="str">
        <f>IF(AND($O506=$Q$7,$B506&lt;'111'!$L$11),"x","")</f>
        <v/>
      </c>
    </row>
    <row r="507" spans="1:19" ht="15.75" customHeight="1">
      <c r="A507" s="152" t="str">
        <f>IF(B507&lt;&gt;"",IF(AND(B507='IN-TC'!$S$4,OR(TH!N507="1111",TH!O507="1111")),TH!D507,""),"")</f>
        <v/>
      </c>
      <c r="B507" s="34">
        <f t="shared" si="17"/>
        <v>4</v>
      </c>
      <c r="C507" s="35">
        <f t="shared" si="18"/>
        <v>42467</v>
      </c>
      <c r="D507" s="212"/>
      <c r="E507" s="35">
        <v>42467</v>
      </c>
      <c r="F507" s="144" t="s">
        <v>1506</v>
      </c>
      <c r="G507" s="191" t="s">
        <v>1454</v>
      </c>
      <c r="H507" s="198" t="s">
        <v>846</v>
      </c>
      <c r="I507" s="186">
        <v>1195</v>
      </c>
      <c r="J507" s="186">
        <v>52000</v>
      </c>
      <c r="K507" s="185"/>
      <c r="L507" s="186"/>
      <c r="M507" s="36">
        <f>ROUND(I507*J507,-3)</f>
        <v>62140000</v>
      </c>
      <c r="N507" s="37" t="s">
        <v>1443</v>
      </c>
      <c r="O507" s="37" t="s">
        <v>8</v>
      </c>
      <c r="P507" s="47" t="str">
        <f>IF(AND('331-CT'!$F$5=TH!H507,OR(N507="331",O507="331")),"x","")</f>
        <v/>
      </c>
      <c r="Q507" s="47" t="str">
        <f>IF(AND(B507='111'!$L$11,OR($N507=$Q$7,$O507=$Q$7)),"x","")</f>
        <v/>
      </c>
      <c r="R507" s="47" t="str">
        <f>IF(AND($N507=$Q$7,$B507&lt;'111'!$L$11),"x","")</f>
        <v/>
      </c>
      <c r="S507" s="47" t="str">
        <f>IF(AND($O507=$Q$7,$B507&lt;'111'!$L$11),"x","")</f>
        <v/>
      </c>
    </row>
    <row r="508" spans="1:19" ht="15.75" customHeight="1">
      <c r="A508" s="152" t="str">
        <f>IF(B508&lt;&gt;"",IF(AND(B508='IN-TC'!$S$4,OR(TH!N508="1111",TH!O508="1111")),TH!D508,""),"")</f>
        <v/>
      </c>
      <c r="B508" s="34">
        <f t="shared" si="17"/>
        <v>4</v>
      </c>
      <c r="C508" s="35">
        <f t="shared" si="18"/>
        <v>42467</v>
      </c>
      <c r="D508" s="212"/>
      <c r="E508" s="35">
        <v>42467</v>
      </c>
      <c r="F508" s="144" t="s">
        <v>1502</v>
      </c>
      <c r="G508" s="191" t="s">
        <v>1454</v>
      </c>
      <c r="H508" s="198" t="s">
        <v>846</v>
      </c>
      <c r="I508" s="186">
        <v>370</v>
      </c>
      <c r="J508" s="186">
        <v>52000</v>
      </c>
      <c r="K508" s="185"/>
      <c r="L508" s="186"/>
      <c r="M508" s="36">
        <f>ROUND(I508*J508,-3)</f>
        <v>19240000</v>
      </c>
      <c r="N508" s="37" t="s">
        <v>1443</v>
      </c>
      <c r="O508" s="37" t="s">
        <v>8</v>
      </c>
      <c r="P508" s="47" t="str">
        <f>IF(AND('331-CT'!$F$5=TH!H508,OR(N508="331",O508="331")),"x","")</f>
        <v/>
      </c>
      <c r="Q508" s="47" t="str">
        <f>IF(AND(B508='111'!$L$11,OR($N508=$Q$7,$O508=$Q$7)),"x","")</f>
        <v/>
      </c>
      <c r="R508" s="47" t="str">
        <f>IF(AND($N508=$Q$7,$B508&lt;'111'!$L$11),"x","")</f>
        <v/>
      </c>
      <c r="S508" s="47" t="str">
        <f>IF(AND($O508=$Q$7,$B508&lt;'111'!$L$11),"x","")</f>
        <v/>
      </c>
    </row>
    <row r="509" spans="1:19" ht="15.75" customHeight="1">
      <c r="A509" s="152" t="str">
        <f>IF(B509&lt;&gt;"",IF(AND(B509='IN-TC'!$S$4,OR(TH!N509="1111",TH!O509="1111")),TH!D509,""),"")</f>
        <v/>
      </c>
      <c r="B509" s="34">
        <f t="shared" si="17"/>
        <v>4</v>
      </c>
      <c r="C509" s="35">
        <f t="shared" si="18"/>
        <v>42468</v>
      </c>
      <c r="D509" s="212" t="s">
        <v>937</v>
      </c>
      <c r="E509" s="35">
        <v>42468</v>
      </c>
      <c r="F509" s="144" t="s">
        <v>145</v>
      </c>
      <c r="G509" s="191" t="s">
        <v>109</v>
      </c>
      <c r="H509" s="198"/>
      <c r="I509" s="186"/>
      <c r="J509" s="186"/>
      <c r="K509" s="185"/>
      <c r="L509" s="186"/>
      <c r="M509" s="36">
        <v>219400000</v>
      </c>
      <c r="N509" s="37" t="s">
        <v>34</v>
      </c>
      <c r="O509" s="37"/>
      <c r="P509" s="47" t="str">
        <f>IF(AND('331-CT'!$F$5=TH!H509,OR(N509="331",O509="331")),"x","")</f>
        <v/>
      </c>
      <c r="Q509" s="47" t="str">
        <f>IF(AND(B509='111'!$L$11,OR($N509=$Q$7,$O509=$Q$7)),"x","")</f>
        <v/>
      </c>
      <c r="R509" s="47" t="str">
        <f>IF(AND($N509=$Q$7,$B509&lt;'111'!$L$11),"x","")</f>
        <v>x</v>
      </c>
      <c r="S509" s="47" t="str">
        <f>IF(AND($O509=$Q$7,$B509&lt;'111'!$L$11),"x","")</f>
        <v/>
      </c>
    </row>
    <row r="510" spans="1:19" ht="15.75" customHeight="1">
      <c r="A510" s="152" t="str">
        <f>IF(B510&lt;&gt;"",IF(AND(B510='IN-TC'!$S$4,OR(TH!N510="1111",TH!O510="1111")),TH!D510,""),"")</f>
        <v/>
      </c>
      <c r="B510" s="34">
        <f t="shared" si="17"/>
        <v>4</v>
      </c>
      <c r="C510" s="35">
        <f t="shared" si="18"/>
        <v>42468</v>
      </c>
      <c r="D510" s="212" t="s">
        <v>938</v>
      </c>
      <c r="E510" s="35">
        <v>42468</v>
      </c>
      <c r="F510" s="144" t="s">
        <v>161</v>
      </c>
      <c r="G510" s="191" t="s">
        <v>110</v>
      </c>
      <c r="H510" s="198"/>
      <c r="I510" s="186"/>
      <c r="J510" s="186"/>
      <c r="K510" s="185"/>
      <c r="L510" s="186"/>
      <c r="M510" s="36">
        <v>3000000</v>
      </c>
      <c r="N510" s="37" t="s">
        <v>34</v>
      </c>
      <c r="O510" s="37"/>
      <c r="P510" s="47" t="str">
        <f>IF(AND('331-CT'!$F$5=TH!H510,OR(N510="331",O510="331")),"x","")</f>
        <v/>
      </c>
      <c r="Q510" s="47" t="str">
        <f>IF(AND(B510='111'!$L$11,OR($N510=$Q$7,$O510=$Q$7)),"x","")</f>
        <v/>
      </c>
      <c r="R510" s="47" t="str">
        <f>IF(AND($N510=$Q$7,$B510&lt;'111'!$L$11),"x","")</f>
        <v>x</v>
      </c>
      <c r="S510" s="47" t="str">
        <f>IF(AND($O510=$Q$7,$B510&lt;'111'!$L$11),"x","")</f>
        <v/>
      </c>
    </row>
    <row r="511" spans="1:19" ht="15.75" customHeight="1">
      <c r="A511" s="152" t="str">
        <f>IF(B511&lt;&gt;"",IF(AND(B511='IN-TC'!$S$4,OR(TH!N511="1111",TH!O511="1111")),TH!D511,""),"")</f>
        <v/>
      </c>
      <c r="B511" s="34">
        <f t="shared" si="17"/>
        <v>4</v>
      </c>
      <c r="C511" s="35">
        <f t="shared" si="18"/>
        <v>42468</v>
      </c>
      <c r="D511" s="212" t="s">
        <v>888</v>
      </c>
      <c r="E511" s="35">
        <v>42468</v>
      </c>
      <c r="F511" s="144" t="s">
        <v>541</v>
      </c>
      <c r="G511" s="191" t="s">
        <v>104</v>
      </c>
      <c r="H511" s="198"/>
      <c r="I511" s="186"/>
      <c r="J511" s="186"/>
      <c r="K511" s="185"/>
      <c r="L511" s="186"/>
      <c r="M511" s="36">
        <v>20000000</v>
      </c>
      <c r="N511" s="37"/>
      <c r="O511" s="37" t="s">
        <v>34</v>
      </c>
      <c r="P511" s="47" t="str">
        <f>IF(AND('331-CT'!$F$5=TH!H511,OR(N511="331",O511="331")),"x","")</f>
        <v/>
      </c>
      <c r="Q511" s="47" t="str">
        <f>IF(AND(B511='111'!$L$11,OR($N511=$Q$7,$O511=$Q$7)),"x","")</f>
        <v/>
      </c>
      <c r="R511" s="47" t="str">
        <f>IF(AND($N511=$Q$7,$B511&lt;'111'!$L$11),"x","")</f>
        <v/>
      </c>
      <c r="S511" s="47" t="str">
        <f>IF(AND($O511=$Q$7,$B511&lt;'111'!$L$11),"x","")</f>
        <v>x</v>
      </c>
    </row>
    <row r="512" spans="1:19" ht="15.75" customHeight="1">
      <c r="A512" s="152" t="str">
        <f>IF(B512&lt;&gt;"",IF(AND(B512='IN-TC'!$S$4,OR(TH!N512="1111",TH!O512="1111")),TH!D512,""),"")</f>
        <v/>
      </c>
      <c r="B512" s="34">
        <f t="shared" si="17"/>
        <v>4</v>
      </c>
      <c r="C512" s="35">
        <f t="shared" si="18"/>
        <v>42468</v>
      </c>
      <c r="D512" s="212" t="s">
        <v>889</v>
      </c>
      <c r="E512" s="35">
        <v>42468</v>
      </c>
      <c r="F512" s="144" t="s">
        <v>542</v>
      </c>
      <c r="G512" s="191" t="s">
        <v>204</v>
      </c>
      <c r="H512" s="198"/>
      <c r="I512" s="186"/>
      <c r="J512" s="186"/>
      <c r="K512" s="185"/>
      <c r="L512" s="186"/>
      <c r="M512" s="36">
        <v>20011000</v>
      </c>
      <c r="N512" s="37"/>
      <c r="O512" s="37" t="s">
        <v>34</v>
      </c>
      <c r="P512" s="47" t="str">
        <f>IF(AND('331-CT'!$F$5=TH!H512,OR(N512="331",O512="331")),"x","")</f>
        <v/>
      </c>
      <c r="Q512" s="47" t="str">
        <f>IF(AND(B512='111'!$L$11,OR($N512=$Q$7,$O512=$Q$7)),"x","")</f>
        <v/>
      </c>
      <c r="R512" s="47" t="str">
        <f>IF(AND($N512=$Q$7,$B512&lt;'111'!$L$11),"x","")</f>
        <v/>
      </c>
      <c r="S512" s="47" t="str">
        <f>IF(AND($O512=$Q$7,$B512&lt;'111'!$L$11),"x","")</f>
        <v>x</v>
      </c>
    </row>
    <row r="513" spans="1:19" ht="15.75" customHeight="1">
      <c r="A513" s="152" t="str">
        <f>IF(B513&lt;&gt;"",IF(AND(B513='IN-TC'!$S$4,OR(TH!N513="1111",TH!O513="1111")),TH!D513,""),"")</f>
        <v/>
      </c>
      <c r="B513" s="34">
        <f t="shared" si="17"/>
        <v>4</v>
      </c>
      <c r="C513" s="35">
        <f t="shared" si="18"/>
        <v>42468</v>
      </c>
      <c r="D513" s="212" t="s">
        <v>890</v>
      </c>
      <c r="E513" s="35">
        <v>42468</v>
      </c>
      <c r="F513" s="144" t="s">
        <v>543</v>
      </c>
      <c r="G513" s="191" t="s">
        <v>111</v>
      </c>
      <c r="H513" s="198"/>
      <c r="I513" s="186"/>
      <c r="J513" s="186"/>
      <c r="K513" s="185"/>
      <c r="L513" s="186"/>
      <c r="M513" s="36">
        <v>475000</v>
      </c>
      <c r="N513" s="37"/>
      <c r="O513" s="37" t="s">
        <v>34</v>
      </c>
      <c r="P513" s="47" t="str">
        <f>IF(AND('331-CT'!$F$5=TH!H513,OR(N513="331",O513="331")),"x","")</f>
        <v/>
      </c>
      <c r="Q513" s="47" t="str">
        <f>IF(AND(B513='111'!$L$11,OR($N513=$Q$7,$O513=$Q$7)),"x","")</f>
        <v/>
      </c>
      <c r="R513" s="47" t="str">
        <f>IF(AND($N513=$Q$7,$B513&lt;'111'!$L$11),"x","")</f>
        <v/>
      </c>
      <c r="S513" s="47" t="str">
        <f>IF(AND($O513=$Q$7,$B513&lt;'111'!$L$11),"x","")</f>
        <v>x</v>
      </c>
    </row>
    <row r="514" spans="1:19" ht="15.75" customHeight="1">
      <c r="A514" s="152" t="str">
        <f>IF(B514&lt;&gt;"",IF(AND(B514='IN-TC'!$S$4,OR(TH!N514="1111",TH!O514="1111")),TH!D514,""),"")</f>
        <v/>
      </c>
      <c r="B514" s="34">
        <f t="shared" si="17"/>
        <v>4</v>
      </c>
      <c r="C514" s="35">
        <f t="shared" si="18"/>
        <v>42468</v>
      </c>
      <c r="D514" s="212" t="s">
        <v>891</v>
      </c>
      <c r="E514" s="35">
        <v>42468</v>
      </c>
      <c r="F514" s="144" t="s">
        <v>544</v>
      </c>
      <c r="G514" s="191" t="s">
        <v>111</v>
      </c>
      <c r="H514" s="198"/>
      <c r="I514" s="186"/>
      <c r="J514" s="186"/>
      <c r="K514" s="185"/>
      <c r="L514" s="186"/>
      <c r="M514" s="36">
        <v>255000</v>
      </c>
      <c r="N514" s="37"/>
      <c r="O514" s="37" t="s">
        <v>34</v>
      </c>
      <c r="P514" s="47" t="str">
        <f>IF(AND('331-CT'!$F$5=TH!H514,OR(N514="331",O514="331")),"x","")</f>
        <v/>
      </c>
      <c r="Q514" s="47" t="str">
        <f>IF(AND(B514='111'!$L$11,OR($N514=$Q$7,$O514=$Q$7)),"x","")</f>
        <v/>
      </c>
      <c r="R514" s="47" t="str">
        <f>IF(AND($N514=$Q$7,$B514&lt;'111'!$L$11),"x","")</f>
        <v/>
      </c>
      <c r="S514" s="47" t="str">
        <f>IF(AND($O514=$Q$7,$B514&lt;'111'!$L$11),"x","")</f>
        <v>x</v>
      </c>
    </row>
    <row r="515" spans="1:19" ht="15.75" customHeight="1">
      <c r="A515" s="152" t="str">
        <f>IF(B515&lt;&gt;"",IF(AND(B515='IN-TC'!$S$4,OR(TH!N515="1111",TH!O515="1111")),TH!D515,""),"")</f>
        <v/>
      </c>
      <c r="B515" s="34">
        <f t="shared" si="17"/>
        <v>4</v>
      </c>
      <c r="C515" s="35">
        <f t="shared" si="18"/>
        <v>42468</v>
      </c>
      <c r="D515" s="212" t="s">
        <v>892</v>
      </c>
      <c r="E515" s="35">
        <v>42468</v>
      </c>
      <c r="F515" s="144" t="s">
        <v>545</v>
      </c>
      <c r="G515" s="191" t="s">
        <v>202</v>
      </c>
      <c r="H515" s="198"/>
      <c r="I515" s="186"/>
      <c r="J515" s="186"/>
      <c r="K515" s="185"/>
      <c r="L515" s="186"/>
      <c r="M515" s="36">
        <v>4430000</v>
      </c>
      <c r="N515" s="37"/>
      <c r="O515" s="37" t="s">
        <v>34</v>
      </c>
      <c r="P515" s="47" t="str">
        <f>IF(AND('331-CT'!$F$5=TH!H515,OR(N515="331",O515="331")),"x","")</f>
        <v/>
      </c>
      <c r="Q515" s="47" t="str">
        <f>IF(AND(B515='111'!$L$11,OR($N515=$Q$7,$O515=$Q$7)),"x","")</f>
        <v/>
      </c>
      <c r="R515" s="47" t="str">
        <f>IF(AND($N515=$Q$7,$B515&lt;'111'!$L$11),"x","")</f>
        <v/>
      </c>
      <c r="S515" s="47" t="str">
        <f>IF(AND($O515=$Q$7,$B515&lt;'111'!$L$11),"x","")</f>
        <v>x</v>
      </c>
    </row>
    <row r="516" spans="1:19" ht="15.75" customHeight="1">
      <c r="A516" s="152" t="str">
        <f>IF(B516&lt;&gt;"",IF(AND(B516='IN-TC'!$S$4,OR(TH!N516="1111",TH!O516="1111")),TH!D516,""),"")</f>
        <v/>
      </c>
      <c r="B516" s="34">
        <f t="shared" si="17"/>
        <v>4</v>
      </c>
      <c r="C516" s="35">
        <f t="shared" si="18"/>
        <v>42468</v>
      </c>
      <c r="D516" s="212" t="s">
        <v>893</v>
      </c>
      <c r="E516" s="35">
        <v>42468</v>
      </c>
      <c r="F516" s="144" t="s">
        <v>546</v>
      </c>
      <c r="G516" s="191" t="s">
        <v>204</v>
      </c>
      <c r="H516" s="198"/>
      <c r="I516" s="186"/>
      <c r="J516" s="186"/>
      <c r="K516" s="185"/>
      <c r="L516" s="186"/>
      <c r="M516" s="36">
        <v>2240000</v>
      </c>
      <c r="N516" s="37"/>
      <c r="O516" s="37" t="s">
        <v>34</v>
      </c>
      <c r="P516" s="47" t="str">
        <f>IF(AND('331-CT'!$F$5=TH!H516,OR(N516="331",O516="331")),"x","")</f>
        <v/>
      </c>
      <c r="Q516" s="47" t="str">
        <f>IF(AND(B516='111'!$L$11,OR($N516=$Q$7,$O516=$Q$7)),"x","")</f>
        <v/>
      </c>
      <c r="R516" s="47" t="str">
        <f>IF(AND($N516=$Q$7,$B516&lt;'111'!$L$11),"x","")</f>
        <v/>
      </c>
      <c r="S516" s="47" t="str">
        <f>IF(AND($O516=$Q$7,$B516&lt;'111'!$L$11),"x","")</f>
        <v>x</v>
      </c>
    </row>
    <row r="517" spans="1:19" ht="15.75" customHeight="1">
      <c r="A517" s="152" t="str">
        <f>IF(B517&lt;&gt;"",IF(AND(B517='IN-TC'!$S$4,OR(TH!N517="1111",TH!O517="1111")),TH!D517,""),"")</f>
        <v/>
      </c>
      <c r="B517" s="34">
        <f t="shared" si="17"/>
        <v>4</v>
      </c>
      <c r="C517" s="35">
        <f t="shared" si="18"/>
        <v>42468</v>
      </c>
      <c r="D517" s="212" t="s">
        <v>894</v>
      </c>
      <c r="E517" s="35">
        <v>42468</v>
      </c>
      <c r="F517" s="144" t="s">
        <v>547</v>
      </c>
      <c r="G517" s="191" t="s">
        <v>202</v>
      </c>
      <c r="H517" s="198"/>
      <c r="I517" s="186"/>
      <c r="J517" s="186"/>
      <c r="K517" s="185"/>
      <c r="L517" s="186"/>
      <c r="M517" s="36">
        <v>1488000</v>
      </c>
      <c r="N517" s="37"/>
      <c r="O517" s="37" t="s">
        <v>34</v>
      </c>
      <c r="P517" s="47" t="str">
        <f>IF(AND('331-CT'!$F$5=TH!H517,OR(N517="331",O517="331")),"x","")</f>
        <v/>
      </c>
      <c r="Q517" s="47" t="str">
        <f>IF(AND(B517='111'!$L$11,OR($N517=$Q$7,$O517=$Q$7)),"x","")</f>
        <v/>
      </c>
      <c r="R517" s="47" t="str">
        <f>IF(AND($N517=$Q$7,$B517&lt;'111'!$L$11),"x","")</f>
        <v/>
      </c>
      <c r="S517" s="47" t="str">
        <f>IF(AND($O517=$Q$7,$B517&lt;'111'!$L$11),"x","")</f>
        <v>x</v>
      </c>
    </row>
    <row r="518" spans="1:19" ht="15.75" customHeight="1">
      <c r="A518" s="152" t="str">
        <f>IF(B518&lt;&gt;"",IF(AND(B518='IN-TC'!$S$4,OR(TH!N518="1111",TH!O518="1111")),TH!D518,""),"")</f>
        <v/>
      </c>
      <c r="B518" s="34">
        <f t="shared" si="17"/>
        <v>4</v>
      </c>
      <c r="C518" s="35">
        <f t="shared" si="18"/>
        <v>42468</v>
      </c>
      <c r="D518" s="212" t="s">
        <v>895</v>
      </c>
      <c r="E518" s="35">
        <v>42468</v>
      </c>
      <c r="F518" s="144" t="s">
        <v>548</v>
      </c>
      <c r="G518" s="191" t="s">
        <v>219</v>
      </c>
      <c r="H518" s="198"/>
      <c r="I518" s="186"/>
      <c r="J518" s="186"/>
      <c r="K518" s="185"/>
      <c r="L518" s="186"/>
      <c r="M518" s="36">
        <v>7200000</v>
      </c>
      <c r="N518" s="37"/>
      <c r="O518" s="37" t="s">
        <v>34</v>
      </c>
      <c r="P518" s="47" t="str">
        <f>IF(AND('331-CT'!$F$5=TH!H518,OR(N518="331",O518="331")),"x","")</f>
        <v/>
      </c>
      <c r="Q518" s="47" t="str">
        <f>IF(AND(B518='111'!$L$11,OR($N518=$Q$7,$O518=$Q$7)),"x","")</f>
        <v/>
      </c>
      <c r="R518" s="47" t="str">
        <f>IF(AND($N518=$Q$7,$B518&lt;'111'!$L$11),"x","")</f>
        <v/>
      </c>
      <c r="S518" s="47" t="str">
        <f>IF(AND($O518=$Q$7,$B518&lt;'111'!$L$11),"x","")</f>
        <v>x</v>
      </c>
    </row>
    <row r="519" spans="1:19" ht="15.75" customHeight="1">
      <c r="A519" s="152" t="str">
        <f>IF(B519&lt;&gt;"",IF(AND(B519='IN-TC'!$S$4,OR(TH!N519="1111",TH!O519="1111")),TH!D519,""),"")</f>
        <v/>
      </c>
      <c r="B519" s="34">
        <f t="shared" si="17"/>
        <v>4</v>
      </c>
      <c r="C519" s="35">
        <f t="shared" si="18"/>
        <v>42470</v>
      </c>
      <c r="D519" s="212"/>
      <c r="E519" s="35">
        <v>42470</v>
      </c>
      <c r="F519" s="144" t="s">
        <v>1461</v>
      </c>
      <c r="G519" s="191"/>
      <c r="H519" s="198" t="s">
        <v>815</v>
      </c>
      <c r="I519" s="186">
        <v>1929</v>
      </c>
      <c r="J519" s="186">
        <v>38500</v>
      </c>
      <c r="K519" s="185"/>
      <c r="L519" s="186"/>
      <c r="M519" s="36">
        <f>ROUND(I519*J519,0)</f>
        <v>74266500</v>
      </c>
      <c r="N519" s="37" t="s">
        <v>1443</v>
      </c>
      <c r="O519" s="37" t="s">
        <v>8</v>
      </c>
      <c r="P519" s="47" t="str">
        <f>IF(AND('331-CT'!$F$5=TH!H519,OR(N519="331",O519="331")),"x","")</f>
        <v/>
      </c>
      <c r="Q519" s="47" t="str">
        <f>IF(AND(B519='111'!$L$11,OR($N519=$Q$7,$O519=$Q$7)),"x","")</f>
        <v/>
      </c>
      <c r="R519" s="47" t="str">
        <f>IF(AND($N519=$Q$7,$B519&lt;'111'!$L$11),"x","")</f>
        <v/>
      </c>
      <c r="S519" s="47" t="str">
        <f>IF(AND($O519=$Q$7,$B519&lt;'111'!$L$11),"x","")</f>
        <v/>
      </c>
    </row>
    <row r="520" spans="1:19" ht="15.75" customHeight="1">
      <c r="A520" s="152" t="str">
        <f>IF(B520&lt;&gt;"",IF(AND(B520='IN-TC'!$S$4,OR(TH!N520="1111",TH!O520="1111")),TH!D520,""),"")</f>
        <v/>
      </c>
      <c r="B520" s="34">
        <f t="shared" si="17"/>
        <v>4</v>
      </c>
      <c r="C520" s="35">
        <f t="shared" si="18"/>
        <v>42470</v>
      </c>
      <c r="D520" s="212"/>
      <c r="E520" s="35">
        <v>42470</v>
      </c>
      <c r="F520" s="144" t="s">
        <v>1462</v>
      </c>
      <c r="G520" s="191"/>
      <c r="H520" s="198" t="s">
        <v>815</v>
      </c>
      <c r="I520" s="186">
        <v>1631</v>
      </c>
      <c r="J520" s="186">
        <v>35000</v>
      </c>
      <c r="K520" s="185"/>
      <c r="L520" s="186"/>
      <c r="M520" s="36">
        <f>ROUND(I520*J520,0)</f>
        <v>57085000</v>
      </c>
      <c r="N520" s="37" t="s">
        <v>1443</v>
      </c>
      <c r="O520" s="37" t="s">
        <v>8</v>
      </c>
      <c r="P520" s="47" t="str">
        <f>IF(AND('331-CT'!$F$5=TH!H520,OR(N520="331",O520="331")),"x","")</f>
        <v/>
      </c>
      <c r="Q520" s="47" t="str">
        <f>IF(AND(B520='111'!$L$11,OR($N520=$Q$7,$O520=$Q$7)),"x","")</f>
        <v/>
      </c>
      <c r="R520" s="47" t="str">
        <f>IF(AND($N520=$Q$7,$B520&lt;'111'!$L$11),"x","")</f>
        <v/>
      </c>
      <c r="S520" s="47" t="str">
        <f>IF(AND($O520=$Q$7,$B520&lt;'111'!$L$11),"x","")</f>
        <v/>
      </c>
    </row>
    <row r="521" spans="1:19" ht="15.75" customHeight="1">
      <c r="A521" s="152" t="str">
        <f>IF(B521&lt;&gt;"",IF(AND(B521='IN-TC'!$S$4,OR(TH!N521="1111",TH!O521="1111")),TH!D521,""),"")</f>
        <v/>
      </c>
      <c r="B521" s="34">
        <f t="shared" si="17"/>
        <v>4</v>
      </c>
      <c r="C521" s="35">
        <f t="shared" si="18"/>
        <v>42470</v>
      </c>
      <c r="D521" s="212"/>
      <c r="E521" s="35">
        <v>42470</v>
      </c>
      <c r="F521" s="144" t="s">
        <v>1463</v>
      </c>
      <c r="G521" s="191"/>
      <c r="H521" s="198" t="s">
        <v>815</v>
      </c>
      <c r="I521" s="186">
        <v>42</v>
      </c>
      <c r="J521" s="186">
        <v>30000</v>
      </c>
      <c r="K521" s="185"/>
      <c r="L521" s="186"/>
      <c r="M521" s="36">
        <f>ROUND(I521*J521,0)</f>
        <v>1260000</v>
      </c>
      <c r="N521" s="37" t="s">
        <v>1443</v>
      </c>
      <c r="O521" s="37" t="s">
        <v>8</v>
      </c>
      <c r="P521" s="47" t="str">
        <f>IF(AND('331-CT'!$F$5=TH!H521,OR(N521="331",O521="331")),"x","")</f>
        <v/>
      </c>
      <c r="Q521" s="47" t="str">
        <f>IF(AND(B521='111'!$L$11,OR($N521=$Q$7,$O521=$Q$7)),"x","")</f>
        <v/>
      </c>
      <c r="R521" s="47" t="str">
        <f>IF(AND($N521=$Q$7,$B521&lt;'111'!$L$11),"x","")</f>
        <v/>
      </c>
      <c r="S521" s="47" t="str">
        <f>IF(AND($O521=$Q$7,$B521&lt;'111'!$L$11),"x","")</f>
        <v/>
      </c>
    </row>
    <row r="522" spans="1:19" ht="15.75" customHeight="1">
      <c r="A522" s="152" t="str">
        <f>IF(B522&lt;&gt;"",IF(AND(B522='IN-TC'!$S$4,OR(TH!N522="1111",TH!O522="1111")),TH!D522,""),"")</f>
        <v/>
      </c>
      <c r="B522" s="34">
        <f t="shared" si="17"/>
        <v>4</v>
      </c>
      <c r="C522" s="35">
        <f t="shared" si="18"/>
        <v>42471</v>
      </c>
      <c r="D522" s="212" t="s">
        <v>896</v>
      </c>
      <c r="E522" s="35">
        <v>42471</v>
      </c>
      <c r="F522" s="144" t="s">
        <v>549</v>
      </c>
      <c r="G522" s="191" t="s">
        <v>104</v>
      </c>
      <c r="H522" s="198"/>
      <c r="I522" s="186"/>
      <c r="J522" s="186"/>
      <c r="K522" s="185"/>
      <c r="L522" s="186"/>
      <c r="M522" s="36">
        <v>15000000</v>
      </c>
      <c r="N522" s="37"/>
      <c r="O522" s="37" t="s">
        <v>34</v>
      </c>
      <c r="P522" s="47" t="str">
        <f>IF(AND('331-CT'!$F$5=TH!H522,OR(N522="331",O522="331")),"x","")</f>
        <v/>
      </c>
      <c r="Q522" s="47" t="str">
        <f>IF(AND(B522='111'!$L$11,OR($N522=$Q$7,$O522=$Q$7)),"x","")</f>
        <v/>
      </c>
      <c r="R522" s="47" t="str">
        <f>IF(AND($N522=$Q$7,$B522&lt;'111'!$L$11),"x","")</f>
        <v/>
      </c>
      <c r="S522" s="47" t="str">
        <f>IF(AND($O522=$Q$7,$B522&lt;'111'!$L$11),"x","")</f>
        <v>x</v>
      </c>
    </row>
    <row r="523" spans="1:19" ht="15.75" customHeight="1">
      <c r="A523" s="152" t="str">
        <f>IF(B523&lt;&gt;"",IF(AND(B523='IN-TC'!$S$4,OR(TH!N523="1111",TH!O523="1111")),TH!D523,""),"")</f>
        <v/>
      </c>
      <c r="B523" s="34">
        <f t="shared" si="17"/>
        <v>4</v>
      </c>
      <c r="C523" s="35">
        <f t="shared" si="18"/>
        <v>42471</v>
      </c>
      <c r="D523" s="212" t="s">
        <v>897</v>
      </c>
      <c r="E523" s="35">
        <v>42471</v>
      </c>
      <c r="F523" s="144" t="s">
        <v>550</v>
      </c>
      <c r="G523" s="191" t="s">
        <v>204</v>
      </c>
      <c r="H523" s="198"/>
      <c r="I523" s="186"/>
      <c r="J523" s="186"/>
      <c r="K523" s="185"/>
      <c r="L523" s="186"/>
      <c r="M523" s="36">
        <v>1400000</v>
      </c>
      <c r="N523" s="37"/>
      <c r="O523" s="37" t="s">
        <v>34</v>
      </c>
      <c r="P523" s="47" t="str">
        <f>IF(AND('331-CT'!$F$5=TH!H523,OR(N523="331",O523="331")),"x","")</f>
        <v/>
      </c>
      <c r="Q523" s="47" t="str">
        <f>IF(AND(B523='111'!$L$11,OR($N523=$Q$7,$O523=$Q$7)),"x","")</f>
        <v/>
      </c>
      <c r="R523" s="47" t="str">
        <f>IF(AND($N523=$Q$7,$B523&lt;'111'!$L$11),"x","")</f>
        <v/>
      </c>
      <c r="S523" s="47" t="str">
        <f>IF(AND($O523=$Q$7,$B523&lt;'111'!$L$11),"x","")</f>
        <v>x</v>
      </c>
    </row>
    <row r="524" spans="1:19" ht="15.75" customHeight="1">
      <c r="A524" s="152" t="str">
        <f>IF(B524&lt;&gt;"",IF(AND(B524='IN-TC'!$S$4,OR(TH!N524="1111",TH!O524="1111")),TH!D524,""),"")</f>
        <v/>
      </c>
      <c r="B524" s="34">
        <f t="shared" si="17"/>
        <v>4</v>
      </c>
      <c r="C524" s="35">
        <f t="shared" si="18"/>
        <v>42471</v>
      </c>
      <c r="D524" s="212" t="s">
        <v>898</v>
      </c>
      <c r="E524" s="35">
        <v>42471</v>
      </c>
      <c r="F524" s="144" t="s">
        <v>551</v>
      </c>
      <c r="G524" s="191" t="s">
        <v>214</v>
      </c>
      <c r="H524" s="198"/>
      <c r="I524" s="186"/>
      <c r="J524" s="186"/>
      <c r="K524" s="185"/>
      <c r="L524" s="186"/>
      <c r="M524" s="36">
        <v>400000</v>
      </c>
      <c r="N524" s="37"/>
      <c r="O524" s="37" t="s">
        <v>34</v>
      </c>
      <c r="P524" s="47" t="str">
        <f>IF(AND('331-CT'!$F$5=TH!H524,OR(N524="331",O524="331")),"x","")</f>
        <v/>
      </c>
      <c r="Q524" s="47" t="str">
        <f>IF(AND(B524='111'!$L$11,OR($N524=$Q$7,$O524=$Q$7)),"x","")</f>
        <v/>
      </c>
      <c r="R524" s="47" t="str">
        <f>IF(AND($N524=$Q$7,$B524&lt;'111'!$L$11),"x","")</f>
        <v/>
      </c>
      <c r="S524" s="47" t="str">
        <f>IF(AND($O524=$Q$7,$B524&lt;'111'!$L$11),"x","")</f>
        <v>x</v>
      </c>
    </row>
    <row r="525" spans="1:19" ht="15.75" customHeight="1">
      <c r="A525" s="152" t="str">
        <f>IF(B525&lt;&gt;"",IF(AND(B525='IN-TC'!$S$4,OR(TH!N525="1111",TH!O525="1111")),TH!D525,""),"")</f>
        <v/>
      </c>
      <c r="B525" s="34">
        <f t="shared" ref="B525:B588" si="19">IF(C525&lt;&gt;"",MONTH(C525),"")</f>
        <v>4</v>
      </c>
      <c r="C525" s="35">
        <f t="shared" ref="C525:C588" si="20">E525</f>
        <v>42471</v>
      </c>
      <c r="D525" s="212" t="s">
        <v>899</v>
      </c>
      <c r="E525" s="35">
        <v>42471</v>
      </c>
      <c r="F525" s="144" t="s">
        <v>552</v>
      </c>
      <c r="G525" s="191" t="s">
        <v>212</v>
      </c>
      <c r="H525" s="198"/>
      <c r="I525" s="186"/>
      <c r="J525" s="186"/>
      <c r="K525" s="185"/>
      <c r="L525" s="186"/>
      <c r="M525" s="36">
        <v>10739000</v>
      </c>
      <c r="N525" s="37"/>
      <c r="O525" s="37" t="s">
        <v>34</v>
      </c>
      <c r="P525" s="47" t="str">
        <f>IF(AND('331-CT'!$F$5=TH!H525,OR(N525="331",O525="331")),"x","")</f>
        <v/>
      </c>
      <c r="Q525" s="47" t="str">
        <f>IF(AND(B525='111'!$L$11,OR($N525=$Q$7,$O525=$Q$7)),"x","")</f>
        <v/>
      </c>
      <c r="R525" s="47" t="str">
        <f>IF(AND($N525=$Q$7,$B525&lt;'111'!$L$11),"x","")</f>
        <v/>
      </c>
      <c r="S525" s="47" t="str">
        <f>IF(AND($O525=$Q$7,$B525&lt;'111'!$L$11),"x","")</f>
        <v>x</v>
      </c>
    </row>
    <row r="526" spans="1:19" ht="15.75" customHeight="1">
      <c r="A526" s="152" t="str">
        <f>IF(B526&lt;&gt;"",IF(AND(B526='IN-TC'!$S$4,OR(TH!N526="1111",TH!O526="1111")),TH!D526,""),"")</f>
        <v/>
      </c>
      <c r="B526" s="34">
        <f t="shared" si="19"/>
        <v>4</v>
      </c>
      <c r="C526" s="35">
        <f t="shared" si="20"/>
        <v>42471</v>
      </c>
      <c r="D526" s="212" t="s">
        <v>900</v>
      </c>
      <c r="E526" s="35">
        <v>42471</v>
      </c>
      <c r="F526" s="144" t="s">
        <v>553</v>
      </c>
      <c r="G526" s="191" t="s">
        <v>202</v>
      </c>
      <c r="H526" s="198"/>
      <c r="I526" s="186"/>
      <c r="J526" s="186"/>
      <c r="K526" s="185"/>
      <c r="L526" s="186"/>
      <c r="M526" s="36">
        <v>20000000</v>
      </c>
      <c r="N526" s="37"/>
      <c r="O526" s="37" t="s">
        <v>34</v>
      </c>
      <c r="P526" s="47" t="str">
        <f>IF(AND('331-CT'!$F$5=TH!H526,OR(N526="331",O526="331")),"x","")</f>
        <v/>
      </c>
      <c r="Q526" s="47" t="str">
        <f>IF(AND(B526='111'!$L$11,OR($N526=$Q$7,$O526=$Q$7)),"x","")</f>
        <v/>
      </c>
      <c r="R526" s="47" t="str">
        <f>IF(AND($N526=$Q$7,$B526&lt;'111'!$L$11),"x","")</f>
        <v/>
      </c>
      <c r="S526" s="47" t="str">
        <f>IF(AND($O526=$Q$7,$B526&lt;'111'!$L$11),"x","")</f>
        <v>x</v>
      </c>
    </row>
    <row r="527" spans="1:19" ht="15.75" customHeight="1">
      <c r="A527" s="152" t="str">
        <f>IF(B527&lt;&gt;"",IF(AND(B527='IN-TC'!$S$4,OR(TH!N527="1111",TH!O527="1111")),TH!D527,""),"")</f>
        <v/>
      </c>
      <c r="B527" s="34">
        <f t="shared" si="19"/>
        <v>4</v>
      </c>
      <c r="C527" s="35">
        <f t="shared" si="20"/>
        <v>42471</v>
      </c>
      <c r="D527" s="212" t="s">
        <v>901</v>
      </c>
      <c r="E527" s="35">
        <v>42471</v>
      </c>
      <c r="F527" s="144" t="s">
        <v>554</v>
      </c>
      <c r="G527" s="191" t="s">
        <v>226</v>
      </c>
      <c r="H527" s="198"/>
      <c r="I527" s="186"/>
      <c r="J527" s="186"/>
      <c r="K527" s="185"/>
      <c r="L527" s="186"/>
      <c r="M527" s="36">
        <v>5540000</v>
      </c>
      <c r="N527" s="37"/>
      <c r="O527" s="37" t="s">
        <v>34</v>
      </c>
      <c r="P527" s="47" t="str">
        <f>IF(AND('331-CT'!$F$5=TH!H527,OR(N527="331",O527="331")),"x","")</f>
        <v/>
      </c>
      <c r="Q527" s="47" t="str">
        <f>IF(AND(B527='111'!$L$11,OR($N527=$Q$7,$O527=$Q$7)),"x","")</f>
        <v/>
      </c>
      <c r="R527" s="47" t="str">
        <f>IF(AND($N527=$Q$7,$B527&lt;'111'!$L$11),"x","")</f>
        <v/>
      </c>
      <c r="S527" s="47" t="str">
        <f>IF(AND($O527=$Q$7,$B527&lt;'111'!$L$11),"x","")</f>
        <v>x</v>
      </c>
    </row>
    <row r="528" spans="1:19" ht="15.75" customHeight="1">
      <c r="A528" s="152" t="str">
        <f>IF(B528&lt;&gt;"",IF(AND(B528='IN-TC'!$S$4,OR(TH!N528="1111",TH!O528="1111")),TH!D528,""),"")</f>
        <v/>
      </c>
      <c r="B528" s="34">
        <f t="shared" si="19"/>
        <v>4</v>
      </c>
      <c r="C528" s="35">
        <f t="shared" si="20"/>
        <v>42471</v>
      </c>
      <c r="D528" s="212" t="s">
        <v>902</v>
      </c>
      <c r="E528" s="35">
        <v>42471</v>
      </c>
      <c r="F528" s="144" t="s">
        <v>555</v>
      </c>
      <c r="G528" s="191" t="s">
        <v>204</v>
      </c>
      <c r="H528" s="198"/>
      <c r="I528" s="186"/>
      <c r="J528" s="186"/>
      <c r="K528" s="185"/>
      <c r="L528" s="186"/>
      <c r="M528" s="36">
        <v>1200000</v>
      </c>
      <c r="N528" s="37"/>
      <c r="O528" s="37" t="s">
        <v>34</v>
      </c>
      <c r="P528" s="47" t="str">
        <f>IF(AND('331-CT'!$F$5=TH!H528,OR(N528="331",O528="331")),"x","")</f>
        <v/>
      </c>
      <c r="Q528" s="47" t="str">
        <f>IF(AND(B528='111'!$L$11,OR($N528=$Q$7,$O528=$Q$7)),"x","")</f>
        <v/>
      </c>
      <c r="R528" s="47" t="str">
        <f>IF(AND($N528=$Q$7,$B528&lt;'111'!$L$11),"x","")</f>
        <v/>
      </c>
      <c r="S528" s="47" t="str">
        <f>IF(AND($O528=$Q$7,$B528&lt;'111'!$L$11),"x","")</f>
        <v>x</v>
      </c>
    </row>
    <row r="529" spans="1:19" ht="15.75" customHeight="1">
      <c r="A529" s="152" t="str">
        <f>IF(B529&lt;&gt;"",IF(AND(B529='IN-TC'!$S$4,OR(TH!N529="1111",TH!O529="1111")),TH!D529,""),"")</f>
        <v/>
      </c>
      <c r="B529" s="34">
        <f t="shared" si="19"/>
        <v>4</v>
      </c>
      <c r="C529" s="35">
        <f t="shared" si="20"/>
        <v>42471</v>
      </c>
      <c r="D529" s="212"/>
      <c r="E529" s="35">
        <v>42471</v>
      </c>
      <c r="F529" s="144" t="s">
        <v>1506</v>
      </c>
      <c r="G529" s="191" t="s">
        <v>1454</v>
      </c>
      <c r="H529" s="198" t="s">
        <v>846</v>
      </c>
      <c r="I529" s="186">
        <v>743</v>
      </c>
      <c r="J529" s="186">
        <v>52000</v>
      </c>
      <c r="K529" s="185"/>
      <c r="L529" s="186"/>
      <c r="M529" s="36">
        <f>ROUND(I529*J529,-3)</f>
        <v>38636000</v>
      </c>
      <c r="N529" s="37" t="s">
        <v>1443</v>
      </c>
      <c r="O529" s="37" t="s">
        <v>8</v>
      </c>
      <c r="P529" s="47" t="str">
        <f>IF(AND('331-CT'!$F$5=TH!H529,OR(N529="331",O529="331")),"x","")</f>
        <v/>
      </c>
      <c r="Q529" s="47" t="str">
        <f>IF(AND(B529='111'!$L$11,OR($N529=$Q$7,$O529=$Q$7)),"x","")</f>
        <v/>
      </c>
      <c r="R529" s="47" t="str">
        <f>IF(AND($N529=$Q$7,$B529&lt;'111'!$L$11),"x","")</f>
        <v/>
      </c>
      <c r="S529" s="47" t="str">
        <f>IF(AND($O529=$Q$7,$B529&lt;'111'!$L$11),"x","")</f>
        <v/>
      </c>
    </row>
    <row r="530" spans="1:19" ht="15.75" customHeight="1">
      <c r="A530" s="152" t="str">
        <f>IF(B530&lt;&gt;"",IF(AND(B530='IN-TC'!$S$4,OR(TH!N530="1111",TH!O530="1111")),TH!D530,""),"")</f>
        <v/>
      </c>
      <c r="B530" s="34">
        <f t="shared" si="19"/>
        <v>4</v>
      </c>
      <c r="C530" s="35">
        <f t="shared" si="20"/>
        <v>42472</v>
      </c>
      <c r="D530" s="212" t="s">
        <v>903</v>
      </c>
      <c r="E530" s="35">
        <v>42472</v>
      </c>
      <c r="F530" s="144" t="s">
        <v>556</v>
      </c>
      <c r="G530" s="191" t="s">
        <v>207</v>
      </c>
      <c r="H530" s="198"/>
      <c r="I530" s="186"/>
      <c r="J530" s="186"/>
      <c r="K530" s="185"/>
      <c r="L530" s="186"/>
      <c r="M530" s="36">
        <v>500000</v>
      </c>
      <c r="N530" s="37"/>
      <c r="O530" s="37" t="s">
        <v>34</v>
      </c>
      <c r="P530" s="47" t="str">
        <f>IF(AND('331-CT'!$F$5=TH!H530,OR(N530="331",O530="331")),"x","")</f>
        <v/>
      </c>
      <c r="Q530" s="47" t="str">
        <f>IF(AND(B530='111'!$L$11,OR($N530=$Q$7,$O530=$Q$7)),"x","")</f>
        <v/>
      </c>
      <c r="R530" s="47" t="str">
        <f>IF(AND($N530=$Q$7,$B530&lt;'111'!$L$11),"x","")</f>
        <v/>
      </c>
      <c r="S530" s="47" t="str">
        <f>IF(AND($O530=$Q$7,$B530&lt;'111'!$L$11),"x","")</f>
        <v>x</v>
      </c>
    </row>
    <row r="531" spans="1:19" ht="15.75" customHeight="1">
      <c r="A531" s="152" t="str">
        <f>IF(B531&lt;&gt;"",IF(AND(B531='IN-TC'!$S$4,OR(TH!N531="1111",TH!O531="1111")),TH!D531,""),"")</f>
        <v/>
      </c>
      <c r="B531" s="34">
        <f t="shared" si="19"/>
        <v>4</v>
      </c>
      <c r="C531" s="35">
        <f t="shared" si="20"/>
        <v>42472</v>
      </c>
      <c r="D531" s="212"/>
      <c r="E531" s="35">
        <v>42472</v>
      </c>
      <c r="F531" s="144" t="s">
        <v>1460</v>
      </c>
      <c r="G531" s="191"/>
      <c r="H531" s="198" t="s">
        <v>815</v>
      </c>
      <c r="I531" s="186">
        <v>956</v>
      </c>
      <c r="J531" s="186">
        <v>43000</v>
      </c>
      <c r="K531" s="185"/>
      <c r="L531" s="186"/>
      <c r="M531" s="36">
        <f>ROUND(I531*J531,0)</f>
        <v>41108000</v>
      </c>
      <c r="N531" s="37" t="s">
        <v>1443</v>
      </c>
      <c r="O531" s="37" t="s">
        <v>8</v>
      </c>
      <c r="P531" s="47" t="str">
        <f>IF(AND('331-CT'!$F$5=TH!H531,OR(N531="331",O531="331")),"x","")</f>
        <v/>
      </c>
      <c r="Q531" s="47" t="str">
        <f>IF(AND(B531='111'!$L$11,OR($N531=$Q$7,$O531=$Q$7)),"x","")</f>
        <v/>
      </c>
      <c r="R531" s="47" t="str">
        <f>IF(AND($N531=$Q$7,$B531&lt;'111'!$L$11),"x","")</f>
        <v/>
      </c>
      <c r="S531" s="47" t="str">
        <f>IF(AND($O531=$Q$7,$B531&lt;'111'!$L$11),"x","")</f>
        <v/>
      </c>
    </row>
    <row r="532" spans="1:19" ht="15.75" customHeight="1">
      <c r="A532" s="152" t="str">
        <f>IF(B532&lt;&gt;"",IF(AND(B532='IN-TC'!$S$4,OR(TH!N532="1111",TH!O532="1111")),TH!D532,""),"")</f>
        <v/>
      </c>
      <c r="B532" s="34">
        <f t="shared" si="19"/>
        <v>4</v>
      </c>
      <c r="C532" s="35">
        <f t="shared" si="20"/>
        <v>42472</v>
      </c>
      <c r="D532" s="212"/>
      <c r="E532" s="35">
        <v>42472</v>
      </c>
      <c r="F532" s="144" t="s">
        <v>1461</v>
      </c>
      <c r="G532" s="191"/>
      <c r="H532" s="198" t="s">
        <v>815</v>
      </c>
      <c r="I532" s="186">
        <v>1803</v>
      </c>
      <c r="J532" s="186">
        <v>38000</v>
      </c>
      <c r="K532" s="185"/>
      <c r="L532" s="186"/>
      <c r="M532" s="36">
        <f>ROUND(I532*J532,0)</f>
        <v>68514000</v>
      </c>
      <c r="N532" s="37" t="s">
        <v>1443</v>
      </c>
      <c r="O532" s="37" t="s">
        <v>8</v>
      </c>
      <c r="P532" s="47" t="str">
        <f>IF(AND('331-CT'!$F$5=TH!H532,OR(N532="331",O532="331")),"x","")</f>
        <v/>
      </c>
      <c r="Q532" s="47" t="str">
        <f>IF(AND(B532='111'!$L$11,OR($N532=$Q$7,$O532=$Q$7)),"x","")</f>
        <v/>
      </c>
      <c r="R532" s="47" t="str">
        <f>IF(AND($N532=$Q$7,$B532&lt;'111'!$L$11),"x","")</f>
        <v/>
      </c>
      <c r="S532" s="47" t="str">
        <f>IF(AND($O532=$Q$7,$B532&lt;'111'!$L$11),"x","")</f>
        <v/>
      </c>
    </row>
    <row r="533" spans="1:19" ht="15.75" customHeight="1">
      <c r="A533" s="152" t="str">
        <f>IF(B533&lt;&gt;"",IF(AND(B533='IN-TC'!$S$4,OR(TH!N533="1111",TH!O533="1111")),TH!D533,""),"")</f>
        <v/>
      </c>
      <c r="B533" s="34">
        <f t="shared" si="19"/>
        <v>4</v>
      </c>
      <c r="C533" s="35">
        <f t="shared" si="20"/>
        <v>42472</v>
      </c>
      <c r="D533" s="212"/>
      <c r="E533" s="35">
        <v>42472</v>
      </c>
      <c r="F533" s="144" t="s">
        <v>1466</v>
      </c>
      <c r="G533" s="191"/>
      <c r="H533" s="198" t="s">
        <v>840</v>
      </c>
      <c r="I533" s="186">
        <v>3679</v>
      </c>
      <c r="J533" s="186">
        <v>15000</v>
      </c>
      <c r="K533" s="185"/>
      <c r="L533" s="186"/>
      <c r="M533" s="36">
        <f>ROUND(I533*J533,0)</f>
        <v>55185000</v>
      </c>
      <c r="N533" s="37" t="s">
        <v>1443</v>
      </c>
      <c r="O533" s="37" t="s">
        <v>8</v>
      </c>
      <c r="P533" s="47" t="str">
        <f>IF(AND('331-CT'!$F$5=TH!H533,OR(N533="331",O533="331")),"x","")</f>
        <v/>
      </c>
      <c r="Q533" s="47" t="str">
        <f>IF(AND(B533='111'!$L$11,OR($N533=$Q$7,$O533=$Q$7)),"x","")</f>
        <v/>
      </c>
      <c r="R533" s="47" t="str">
        <f>IF(AND($N533=$Q$7,$B533&lt;'111'!$L$11),"x","")</f>
        <v/>
      </c>
      <c r="S533" s="47" t="str">
        <f>IF(AND($O533=$Q$7,$B533&lt;'111'!$L$11),"x","")</f>
        <v/>
      </c>
    </row>
    <row r="534" spans="1:19" ht="15.75" customHeight="1">
      <c r="A534" s="152" t="str">
        <f>IF(B534&lt;&gt;"",IF(AND(B534='IN-TC'!$S$4,OR(TH!N534="1111",TH!O534="1111")),TH!D534,""),"")</f>
        <v/>
      </c>
      <c r="B534" s="34">
        <f t="shared" si="19"/>
        <v>4</v>
      </c>
      <c r="C534" s="35">
        <f t="shared" si="20"/>
        <v>42473</v>
      </c>
      <c r="D534" s="212" t="s">
        <v>904</v>
      </c>
      <c r="E534" s="35">
        <v>42473</v>
      </c>
      <c r="F534" s="144" t="s">
        <v>557</v>
      </c>
      <c r="G534" s="191" t="s">
        <v>202</v>
      </c>
      <c r="H534" s="198"/>
      <c r="I534" s="186"/>
      <c r="J534" s="186"/>
      <c r="K534" s="185"/>
      <c r="L534" s="186"/>
      <c r="M534" s="36">
        <v>2180000</v>
      </c>
      <c r="N534" s="37"/>
      <c r="O534" s="37" t="s">
        <v>34</v>
      </c>
      <c r="P534" s="47" t="str">
        <f>IF(AND('331-CT'!$F$5=TH!H534,OR(N534="331",O534="331")),"x","")</f>
        <v/>
      </c>
      <c r="Q534" s="47" t="str">
        <f>IF(AND(B534='111'!$L$11,OR($N534=$Q$7,$O534=$Q$7)),"x","")</f>
        <v/>
      </c>
      <c r="R534" s="47" t="str">
        <f>IF(AND($N534=$Q$7,$B534&lt;'111'!$L$11),"x","")</f>
        <v/>
      </c>
      <c r="S534" s="47" t="str">
        <f>IF(AND($O534=$Q$7,$B534&lt;'111'!$L$11),"x","")</f>
        <v>x</v>
      </c>
    </row>
    <row r="535" spans="1:19" ht="15.75" customHeight="1">
      <c r="A535" s="152" t="str">
        <f>IF(B535&lt;&gt;"",IF(AND(B535='IN-TC'!$S$4,OR(TH!N535="1111",TH!O535="1111")),TH!D535,""),"")</f>
        <v/>
      </c>
      <c r="B535" s="34">
        <f t="shared" si="19"/>
        <v>4</v>
      </c>
      <c r="C535" s="35">
        <f t="shared" si="20"/>
        <v>42473</v>
      </c>
      <c r="D535" s="212" t="s">
        <v>905</v>
      </c>
      <c r="E535" s="35">
        <v>42473</v>
      </c>
      <c r="F535" s="144" t="s">
        <v>530</v>
      </c>
      <c r="G535" s="191" t="s">
        <v>202</v>
      </c>
      <c r="H535" s="198"/>
      <c r="I535" s="186"/>
      <c r="J535" s="186"/>
      <c r="K535" s="185"/>
      <c r="L535" s="186"/>
      <c r="M535" s="36">
        <v>335000</v>
      </c>
      <c r="N535" s="37"/>
      <c r="O535" s="37" t="s">
        <v>34</v>
      </c>
      <c r="P535" s="47" t="str">
        <f>IF(AND('331-CT'!$F$5=TH!H535,OR(N535="331",O535="331")),"x","")</f>
        <v/>
      </c>
      <c r="Q535" s="47" t="str">
        <f>IF(AND(B535='111'!$L$11,OR($N535=$Q$7,$O535=$Q$7)),"x","")</f>
        <v/>
      </c>
      <c r="R535" s="47" t="str">
        <f>IF(AND($N535=$Q$7,$B535&lt;'111'!$L$11),"x","")</f>
        <v/>
      </c>
      <c r="S535" s="47" t="str">
        <f>IF(AND($O535=$Q$7,$B535&lt;'111'!$L$11),"x","")</f>
        <v>x</v>
      </c>
    </row>
    <row r="536" spans="1:19" ht="15.75" customHeight="1">
      <c r="A536" s="152" t="str">
        <f>IF(B536&lt;&gt;"",IF(AND(B536='IN-TC'!$S$4,OR(TH!N536="1111",TH!O536="1111")),TH!D536,""),"")</f>
        <v/>
      </c>
      <c r="B536" s="34">
        <f t="shared" si="19"/>
        <v>4</v>
      </c>
      <c r="C536" s="35">
        <f t="shared" si="20"/>
        <v>42473</v>
      </c>
      <c r="D536" s="212" t="s">
        <v>906</v>
      </c>
      <c r="E536" s="35">
        <v>42473</v>
      </c>
      <c r="F536" s="144" t="s">
        <v>558</v>
      </c>
      <c r="G536" s="191" t="s">
        <v>204</v>
      </c>
      <c r="H536" s="198"/>
      <c r="I536" s="186"/>
      <c r="J536" s="186"/>
      <c r="K536" s="185"/>
      <c r="L536" s="186"/>
      <c r="M536" s="36">
        <v>6000000</v>
      </c>
      <c r="N536" s="37"/>
      <c r="O536" s="37" t="s">
        <v>34</v>
      </c>
      <c r="P536" s="47" t="str">
        <f>IF(AND('331-CT'!$F$5=TH!H536,OR(N536="331",O536="331")),"x","")</f>
        <v/>
      </c>
      <c r="Q536" s="47" t="str">
        <f>IF(AND(B536='111'!$L$11,OR($N536=$Q$7,$O536=$Q$7)),"x","")</f>
        <v/>
      </c>
      <c r="R536" s="47" t="str">
        <f>IF(AND($N536=$Q$7,$B536&lt;'111'!$L$11),"x","")</f>
        <v/>
      </c>
      <c r="S536" s="47" t="str">
        <f>IF(AND($O536=$Q$7,$B536&lt;'111'!$L$11),"x","")</f>
        <v>x</v>
      </c>
    </row>
    <row r="537" spans="1:19" ht="15.75" customHeight="1">
      <c r="A537" s="152" t="str">
        <f>IF(B537&lt;&gt;"",IF(AND(B537='IN-TC'!$S$4,OR(TH!N537="1111",TH!O537="1111")),TH!D537,""),"")</f>
        <v/>
      </c>
      <c r="B537" s="34">
        <f t="shared" si="19"/>
        <v>4</v>
      </c>
      <c r="C537" s="35">
        <f t="shared" si="20"/>
        <v>42473</v>
      </c>
      <c r="D537" s="212" t="s">
        <v>907</v>
      </c>
      <c r="E537" s="35">
        <v>42473</v>
      </c>
      <c r="F537" s="144" t="s">
        <v>559</v>
      </c>
      <c r="G537" s="191" t="s">
        <v>208</v>
      </c>
      <c r="H537" s="198"/>
      <c r="I537" s="186"/>
      <c r="J537" s="186"/>
      <c r="K537" s="185"/>
      <c r="L537" s="186"/>
      <c r="M537" s="36">
        <v>1000000</v>
      </c>
      <c r="N537" s="37"/>
      <c r="O537" s="37" t="s">
        <v>34</v>
      </c>
      <c r="P537" s="47" t="str">
        <f>IF(AND('331-CT'!$F$5=TH!H537,OR(N537="331",O537="331")),"x","")</f>
        <v/>
      </c>
      <c r="Q537" s="47" t="str">
        <f>IF(AND(B537='111'!$L$11,OR($N537=$Q$7,$O537=$Q$7)),"x","")</f>
        <v/>
      </c>
      <c r="R537" s="47" t="str">
        <f>IF(AND($N537=$Q$7,$B537&lt;'111'!$L$11),"x","")</f>
        <v/>
      </c>
      <c r="S537" s="47" t="str">
        <f>IF(AND($O537=$Q$7,$B537&lt;'111'!$L$11),"x","")</f>
        <v>x</v>
      </c>
    </row>
    <row r="538" spans="1:19" ht="15.75" customHeight="1">
      <c r="A538" s="152" t="str">
        <f>IF(B538&lt;&gt;"",IF(AND(B538='IN-TC'!$S$4,OR(TH!N538="1111",TH!O538="1111")),TH!D538,""),"")</f>
        <v/>
      </c>
      <c r="B538" s="34">
        <f t="shared" si="19"/>
        <v>4</v>
      </c>
      <c r="C538" s="35">
        <f t="shared" si="20"/>
        <v>42473</v>
      </c>
      <c r="D538" s="212" t="s">
        <v>908</v>
      </c>
      <c r="E538" s="35">
        <v>42473</v>
      </c>
      <c r="F538" s="144" t="s">
        <v>560</v>
      </c>
      <c r="G538" s="191" t="s">
        <v>214</v>
      </c>
      <c r="H538" s="198"/>
      <c r="I538" s="186"/>
      <c r="J538" s="186"/>
      <c r="K538" s="185"/>
      <c r="L538" s="186"/>
      <c r="M538" s="36">
        <v>260000</v>
      </c>
      <c r="N538" s="37"/>
      <c r="O538" s="37" t="s">
        <v>34</v>
      </c>
      <c r="P538" s="47" t="str">
        <f>IF(AND('331-CT'!$F$5=TH!H538,OR(N538="331",O538="331")),"x","")</f>
        <v/>
      </c>
      <c r="Q538" s="47" t="str">
        <f>IF(AND(B538='111'!$L$11,OR($N538=$Q$7,$O538=$Q$7)),"x","")</f>
        <v/>
      </c>
      <c r="R538" s="47" t="str">
        <f>IF(AND($N538=$Q$7,$B538&lt;'111'!$L$11),"x","")</f>
        <v/>
      </c>
      <c r="S538" s="47" t="str">
        <f>IF(AND($O538=$Q$7,$B538&lt;'111'!$L$11),"x","")</f>
        <v>x</v>
      </c>
    </row>
    <row r="539" spans="1:19" ht="15.75" customHeight="1">
      <c r="A539" s="152" t="str">
        <f>IF(B539&lt;&gt;"",IF(AND(B539='IN-TC'!$S$4,OR(TH!N539="1111",TH!O539="1111")),TH!D539,""),"")</f>
        <v/>
      </c>
      <c r="B539" s="34">
        <f t="shared" si="19"/>
        <v>4</v>
      </c>
      <c r="C539" s="35">
        <f t="shared" si="20"/>
        <v>42473</v>
      </c>
      <c r="D539" s="212" t="s">
        <v>909</v>
      </c>
      <c r="E539" s="35">
        <v>42473</v>
      </c>
      <c r="F539" s="144" t="s">
        <v>561</v>
      </c>
      <c r="G539" s="191" t="s">
        <v>202</v>
      </c>
      <c r="H539" s="198"/>
      <c r="I539" s="186"/>
      <c r="J539" s="186"/>
      <c r="K539" s="185"/>
      <c r="L539" s="186"/>
      <c r="M539" s="36">
        <v>100000</v>
      </c>
      <c r="N539" s="37"/>
      <c r="O539" s="37" t="s">
        <v>34</v>
      </c>
      <c r="P539" s="47" t="str">
        <f>IF(AND('331-CT'!$F$5=TH!H539,OR(N539="331",O539="331")),"x","")</f>
        <v/>
      </c>
      <c r="Q539" s="47" t="str">
        <f>IF(AND(B539='111'!$L$11,OR($N539=$Q$7,$O539=$Q$7)),"x","")</f>
        <v/>
      </c>
      <c r="R539" s="47" t="str">
        <f>IF(AND($N539=$Q$7,$B539&lt;'111'!$L$11),"x","")</f>
        <v/>
      </c>
      <c r="S539" s="47" t="str">
        <f>IF(AND($O539=$Q$7,$B539&lt;'111'!$L$11),"x","")</f>
        <v>x</v>
      </c>
    </row>
    <row r="540" spans="1:19" ht="15.75" customHeight="1">
      <c r="A540" s="152" t="str">
        <f>IF(B540&lt;&gt;"",IF(AND(B540='IN-TC'!$S$4,OR(TH!N540="1111",TH!O540="1111")),TH!D540,""),"")</f>
        <v/>
      </c>
      <c r="B540" s="34">
        <f t="shared" si="19"/>
        <v>4</v>
      </c>
      <c r="C540" s="35">
        <f t="shared" si="20"/>
        <v>42475</v>
      </c>
      <c r="D540" s="212" t="s">
        <v>939</v>
      </c>
      <c r="E540" s="35">
        <v>42475</v>
      </c>
      <c r="F540" s="144" t="s">
        <v>162</v>
      </c>
      <c r="G540" s="191"/>
      <c r="H540" s="198"/>
      <c r="I540" s="186"/>
      <c r="J540" s="186"/>
      <c r="K540" s="185"/>
      <c r="L540" s="186"/>
      <c r="M540" s="36">
        <v>250000000</v>
      </c>
      <c r="N540" s="37" t="s">
        <v>34</v>
      </c>
      <c r="O540" s="37"/>
      <c r="P540" s="47" t="str">
        <f>IF(AND('331-CT'!$F$5=TH!H540,OR(N540="331",O540="331")),"x","")</f>
        <v/>
      </c>
      <c r="Q540" s="47" t="str">
        <f>IF(AND(B540='111'!$L$11,OR($N540=$Q$7,$O540=$Q$7)),"x","")</f>
        <v/>
      </c>
      <c r="R540" s="47" t="str">
        <f>IF(AND($N540=$Q$7,$B540&lt;'111'!$L$11),"x","")</f>
        <v>x</v>
      </c>
      <c r="S540" s="47" t="str">
        <f>IF(AND($O540=$Q$7,$B540&lt;'111'!$L$11),"x","")</f>
        <v/>
      </c>
    </row>
    <row r="541" spans="1:19" ht="15.75" customHeight="1">
      <c r="A541" s="152" t="str">
        <f>IF(B541&lt;&gt;"",IF(AND(B541='IN-TC'!$S$4,OR(TH!N541="1111",TH!O541="1111")),TH!D541,""),"")</f>
        <v/>
      </c>
      <c r="B541" s="34">
        <f t="shared" si="19"/>
        <v>4</v>
      </c>
      <c r="C541" s="35">
        <f t="shared" si="20"/>
        <v>42475</v>
      </c>
      <c r="D541" s="212" t="s">
        <v>930</v>
      </c>
      <c r="E541" s="35">
        <v>42475</v>
      </c>
      <c r="F541" s="144" t="s">
        <v>163</v>
      </c>
      <c r="G541" s="191" t="s">
        <v>104</v>
      </c>
      <c r="H541" s="198"/>
      <c r="I541" s="186"/>
      <c r="J541" s="186"/>
      <c r="K541" s="185"/>
      <c r="L541" s="186"/>
      <c r="M541" s="36">
        <v>1600000000</v>
      </c>
      <c r="N541" s="37" t="s">
        <v>34</v>
      </c>
      <c r="O541" s="37"/>
      <c r="P541" s="47" t="str">
        <f>IF(AND('331-CT'!$F$5=TH!H541,OR(N541="331",O541="331")),"x","")</f>
        <v/>
      </c>
      <c r="Q541" s="47" t="str">
        <f>IF(AND(B541='111'!$L$11,OR($N541=$Q$7,$O541=$Q$7)),"x","")</f>
        <v/>
      </c>
      <c r="R541" s="47" t="str">
        <f>IF(AND($N541=$Q$7,$B541&lt;'111'!$L$11),"x","")</f>
        <v>x</v>
      </c>
      <c r="S541" s="47" t="str">
        <f>IF(AND($O541=$Q$7,$B541&lt;'111'!$L$11),"x","")</f>
        <v/>
      </c>
    </row>
    <row r="542" spans="1:19" ht="15.75" customHeight="1">
      <c r="A542" s="152" t="str">
        <f>IF(B542&lt;&gt;"",IF(AND(B542='IN-TC'!$S$4,OR(TH!N542="1111",TH!O542="1111")),TH!D542,""),"")</f>
        <v/>
      </c>
      <c r="B542" s="34">
        <f t="shared" si="19"/>
        <v>4</v>
      </c>
      <c r="C542" s="35">
        <f t="shared" si="20"/>
        <v>42475</v>
      </c>
      <c r="D542" s="212" t="s">
        <v>910</v>
      </c>
      <c r="E542" s="35">
        <v>42475</v>
      </c>
      <c r="F542" s="144" t="s">
        <v>562</v>
      </c>
      <c r="G542" s="191" t="s">
        <v>204</v>
      </c>
      <c r="H542" s="198"/>
      <c r="I542" s="186"/>
      <c r="J542" s="186"/>
      <c r="K542" s="185"/>
      <c r="L542" s="186"/>
      <c r="M542" s="36">
        <v>160048000</v>
      </c>
      <c r="N542" s="37"/>
      <c r="O542" s="37" t="s">
        <v>34</v>
      </c>
      <c r="P542" s="47" t="str">
        <f>IF(AND('331-CT'!$F$5=TH!H542,OR(N542="331",O542="331")),"x","")</f>
        <v/>
      </c>
      <c r="Q542" s="47" t="str">
        <f>IF(AND(B542='111'!$L$11,OR($N542=$Q$7,$O542=$Q$7)),"x","")</f>
        <v/>
      </c>
      <c r="R542" s="47" t="str">
        <f>IF(AND($N542=$Q$7,$B542&lt;'111'!$L$11),"x","")</f>
        <v/>
      </c>
      <c r="S542" s="47" t="str">
        <f>IF(AND($O542=$Q$7,$B542&lt;'111'!$L$11),"x","")</f>
        <v>x</v>
      </c>
    </row>
    <row r="543" spans="1:19" ht="15.75" customHeight="1">
      <c r="A543" s="152" t="str">
        <f>IF(B543&lt;&gt;"",IF(AND(B543='IN-TC'!$S$4,OR(TH!N543="1111",TH!O543="1111")),TH!D543,""),"")</f>
        <v/>
      </c>
      <c r="B543" s="34">
        <f t="shared" si="19"/>
        <v>4</v>
      </c>
      <c r="C543" s="35">
        <f t="shared" si="20"/>
        <v>42475</v>
      </c>
      <c r="D543" s="212" t="s">
        <v>911</v>
      </c>
      <c r="E543" s="35">
        <v>42475</v>
      </c>
      <c r="F543" s="144" t="s">
        <v>563</v>
      </c>
      <c r="G543" s="191" t="s">
        <v>204</v>
      </c>
      <c r="H543" s="198"/>
      <c r="I543" s="186"/>
      <c r="J543" s="186"/>
      <c r="K543" s="185"/>
      <c r="L543" s="186"/>
      <c r="M543" s="36">
        <v>70109000</v>
      </c>
      <c r="N543" s="37"/>
      <c r="O543" s="37" t="s">
        <v>34</v>
      </c>
      <c r="P543" s="47" t="str">
        <f>IF(AND('331-CT'!$F$5=TH!H543,OR(N543="331",O543="331")),"x","")</f>
        <v/>
      </c>
      <c r="Q543" s="47" t="str">
        <f>IF(AND(B543='111'!$L$11,OR($N543=$Q$7,$O543=$Q$7)),"x","")</f>
        <v/>
      </c>
      <c r="R543" s="47" t="str">
        <f>IF(AND($N543=$Q$7,$B543&lt;'111'!$L$11),"x","")</f>
        <v/>
      </c>
      <c r="S543" s="47" t="str">
        <f>IF(AND($O543=$Q$7,$B543&lt;'111'!$L$11),"x","")</f>
        <v>x</v>
      </c>
    </row>
    <row r="544" spans="1:19" ht="15.75" customHeight="1">
      <c r="A544" s="152" t="str">
        <f>IF(B544&lt;&gt;"",IF(AND(B544='IN-TC'!$S$4,OR(TH!N544="1111",TH!O544="1111")),TH!D544,""),"")</f>
        <v/>
      </c>
      <c r="B544" s="34">
        <f t="shared" si="19"/>
        <v>4</v>
      </c>
      <c r="C544" s="35">
        <f t="shared" si="20"/>
        <v>42475</v>
      </c>
      <c r="D544" s="212" t="s">
        <v>912</v>
      </c>
      <c r="E544" s="35">
        <v>42475</v>
      </c>
      <c r="F544" s="144" t="s">
        <v>564</v>
      </c>
      <c r="G544" s="191" t="s">
        <v>212</v>
      </c>
      <c r="H544" s="198"/>
      <c r="I544" s="186"/>
      <c r="J544" s="186"/>
      <c r="K544" s="185"/>
      <c r="L544" s="186"/>
      <c r="M544" s="36">
        <v>215168000</v>
      </c>
      <c r="N544" s="37"/>
      <c r="O544" s="37" t="s">
        <v>34</v>
      </c>
      <c r="P544" s="47" t="str">
        <f>IF(AND('331-CT'!$F$5=TH!H544,OR(N544="331",O544="331")),"x","")</f>
        <v/>
      </c>
      <c r="Q544" s="47" t="str">
        <f>IF(AND(B544='111'!$L$11,OR($N544=$Q$7,$O544=$Q$7)),"x","")</f>
        <v/>
      </c>
      <c r="R544" s="47" t="str">
        <f>IF(AND($N544=$Q$7,$B544&lt;'111'!$L$11),"x","")</f>
        <v/>
      </c>
      <c r="S544" s="47" t="str">
        <f>IF(AND($O544=$Q$7,$B544&lt;'111'!$L$11),"x","")</f>
        <v>x</v>
      </c>
    </row>
    <row r="545" spans="1:19" ht="15.75" customHeight="1">
      <c r="A545" s="152" t="str">
        <f>IF(B545&lt;&gt;"",IF(AND(B545='IN-TC'!$S$4,OR(TH!N545="1111",TH!O545="1111")),TH!D545,""),"")</f>
        <v/>
      </c>
      <c r="B545" s="34">
        <f t="shared" si="19"/>
        <v>4</v>
      </c>
      <c r="C545" s="35">
        <f t="shared" si="20"/>
        <v>42475</v>
      </c>
      <c r="D545" s="212"/>
      <c r="E545" s="35">
        <v>42475</v>
      </c>
      <c r="F545" s="144" t="s">
        <v>1467</v>
      </c>
      <c r="G545" s="191"/>
      <c r="H545" s="198" t="s">
        <v>831</v>
      </c>
      <c r="I545" s="186">
        <v>780</v>
      </c>
      <c r="J545" s="186">
        <v>14000</v>
      </c>
      <c r="K545" s="185"/>
      <c r="L545" s="186"/>
      <c r="M545" s="36">
        <f>ROUND(I545*J545,0)</f>
        <v>10920000</v>
      </c>
      <c r="N545" s="37" t="s">
        <v>1443</v>
      </c>
      <c r="O545" s="37" t="s">
        <v>8</v>
      </c>
      <c r="P545" s="47" t="str">
        <f>IF(AND('331-CT'!$F$5=TH!H545,OR(N545="331",O545="331")),"x","")</f>
        <v/>
      </c>
      <c r="Q545" s="47" t="str">
        <f>IF(AND(B545='111'!$L$11,OR($N545=$Q$7,$O545=$Q$7)),"x","")</f>
        <v/>
      </c>
      <c r="R545" s="47" t="str">
        <f>IF(AND($N545=$Q$7,$B545&lt;'111'!$L$11),"x","")</f>
        <v/>
      </c>
      <c r="S545" s="47" t="str">
        <f>IF(AND($O545=$Q$7,$B545&lt;'111'!$L$11),"x","")</f>
        <v/>
      </c>
    </row>
    <row r="546" spans="1:19" ht="15.75" customHeight="1">
      <c r="A546" s="152" t="str">
        <f>IF(B546&lt;&gt;"",IF(AND(B546='IN-TC'!$S$4,OR(TH!N546="1111",TH!O546="1111")),TH!D546,""),"")</f>
        <v/>
      </c>
      <c r="B546" s="34">
        <f t="shared" si="19"/>
        <v>4</v>
      </c>
      <c r="C546" s="35">
        <f t="shared" si="20"/>
        <v>42477</v>
      </c>
      <c r="D546" s="212"/>
      <c r="E546" s="35">
        <v>42477</v>
      </c>
      <c r="F546" s="144" t="s">
        <v>1467</v>
      </c>
      <c r="G546" s="191"/>
      <c r="H546" s="198" t="s">
        <v>831</v>
      </c>
      <c r="I546" s="186">
        <v>700</v>
      </c>
      <c r="J546" s="186">
        <v>15000</v>
      </c>
      <c r="K546" s="185"/>
      <c r="L546" s="186"/>
      <c r="M546" s="36">
        <f>ROUND(I546*J546,0)</f>
        <v>10500000</v>
      </c>
      <c r="N546" s="37" t="s">
        <v>1443</v>
      </c>
      <c r="O546" s="37" t="s">
        <v>8</v>
      </c>
      <c r="P546" s="47" t="str">
        <f>IF(AND('331-CT'!$F$5=TH!H546,OR(N546="331",O546="331")),"x","")</f>
        <v/>
      </c>
      <c r="Q546" s="47" t="str">
        <f>IF(AND(B546='111'!$L$11,OR($N546=$Q$7,$O546=$Q$7)),"x","")</f>
        <v/>
      </c>
      <c r="R546" s="47" t="str">
        <f>IF(AND($N546=$Q$7,$B546&lt;'111'!$L$11),"x","")</f>
        <v/>
      </c>
      <c r="S546" s="47" t="str">
        <f>IF(AND($O546=$Q$7,$B546&lt;'111'!$L$11),"x","")</f>
        <v/>
      </c>
    </row>
    <row r="547" spans="1:19" ht="15.75" customHeight="1">
      <c r="A547" s="152" t="str">
        <f>IF(B547&lt;&gt;"",IF(AND(B547='IN-TC'!$S$4,OR(TH!N547="1111",TH!O547="1111")),TH!D547,""),"")</f>
        <v/>
      </c>
      <c r="B547" s="34">
        <f t="shared" si="19"/>
        <v>4</v>
      </c>
      <c r="C547" s="35">
        <f t="shared" si="20"/>
        <v>42477</v>
      </c>
      <c r="D547" s="212"/>
      <c r="E547" s="35">
        <v>42477</v>
      </c>
      <c r="F547" s="144" t="s">
        <v>1466</v>
      </c>
      <c r="G547" s="191"/>
      <c r="H547" s="198" t="s">
        <v>840</v>
      </c>
      <c r="I547" s="186">
        <v>3583</v>
      </c>
      <c r="J547" s="186">
        <v>15000</v>
      </c>
      <c r="K547" s="185"/>
      <c r="L547" s="186"/>
      <c r="M547" s="36">
        <f>ROUND(I547*J547,0)</f>
        <v>53745000</v>
      </c>
      <c r="N547" s="37" t="s">
        <v>1443</v>
      </c>
      <c r="O547" s="37" t="s">
        <v>8</v>
      </c>
      <c r="P547" s="47" t="str">
        <f>IF(AND('331-CT'!$F$5=TH!H547,OR(N547="331",O547="331")),"x","")</f>
        <v/>
      </c>
      <c r="Q547" s="47" t="str">
        <f>IF(AND(B547='111'!$L$11,OR($N547=$Q$7,$O547=$Q$7)),"x","")</f>
        <v/>
      </c>
      <c r="R547" s="47" t="str">
        <f>IF(AND($N547=$Q$7,$B547&lt;'111'!$L$11),"x","")</f>
        <v/>
      </c>
      <c r="S547" s="47" t="str">
        <f>IF(AND($O547=$Q$7,$B547&lt;'111'!$L$11),"x","")</f>
        <v/>
      </c>
    </row>
    <row r="548" spans="1:19" ht="15.75" customHeight="1">
      <c r="A548" s="152" t="str">
        <f>IF(B548&lt;&gt;"",IF(AND(B548='IN-TC'!$S$4,OR(TH!N548="1111",TH!O548="1111")),TH!D548,""),"")</f>
        <v/>
      </c>
      <c r="B548" s="34">
        <f t="shared" si="19"/>
        <v>4</v>
      </c>
      <c r="C548" s="35">
        <f t="shared" si="20"/>
        <v>42478</v>
      </c>
      <c r="D548" s="212" t="s">
        <v>1012</v>
      </c>
      <c r="E548" s="35">
        <v>42478</v>
      </c>
      <c r="F548" s="144" t="s">
        <v>164</v>
      </c>
      <c r="G548" s="191" t="s">
        <v>108</v>
      </c>
      <c r="H548" s="198"/>
      <c r="I548" s="186"/>
      <c r="J548" s="186"/>
      <c r="K548" s="185"/>
      <c r="L548" s="186"/>
      <c r="M548" s="36">
        <v>9100000</v>
      </c>
      <c r="N548" s="37" t="s">
        <v>34</v>
      </c>
      <c r="O548" s="37"/>
      <c r="P548" s="47" t="str">
        <f>IF(AND('331-CT'!$F$5=TH!H548,OR(N548="331",O548="331")),"x","")</f>
        <v/>
      </c>
      <c r="Q548" s="47" t="str">
        <f>IF(AND(B548='111'!$L$11,OR($N548=$Q$7,$O548=$Q$7)),"x","")</f>
        <v/>
      </c>
      <c r="R548" s="47" t="str">
        <f>IF(AND($N548=$Q$7,$B548&lt;'111'!$L$11),"x","")</f>
        <v>x</v>
      </c>
      <c r="S548" s="47" t="str">
        <f>IF(AND($O548=$Q$7,$B548&lt;'111'!$L$11),"x","")</f>
        <v/>
      </c>
    </row>
    <row r="549" spans="1:19" ht="15.75" customHeight="1">
      <c r="A549" s="152" t="str">
        <f>IF(B549&lt;&gt;"",IF(AND(B549='IN-TC'!$S$4,OR(TH!N549="1111",TH!O549="1111")),TH!D549,""),"")</f>
        <v/>
      </c>
      <c r="B549" s="34">
        <f t="shared" si="19"/>
        <v>4</v>
      </c>
      <c r="C549" s="35">
        <f t="shared" si="20"/>
        <v>42478</v>
      </c>
      <c r="D549" s="212" t="s">
        <v>913</v>
      </c>
      <c r="E549" s="35">
        <v>42478</v>
      </c>
      <c r="F549" s="144" t="s">
        <v>565</v>
      </c>
      <c r="G549" s="191" t="s">
        <v>207</v>
      </c>
      <c r="H549" s="198"/>
      <c r="I549" s="186"/>
      <c r="J549" s="186"/>
      <c r="K549" s="185"/>
      <c r="L549" s="186"/>
      <c r="M549" s="36">
        <v>1434000</v>
      </c>
      <c r="N549" s="37"/>
      <c r="O549" s="37" t="s">
        <v>34</v>
      </c>
      <c r="P549" s="47" t="str">
        <f>IF(AND('331-CT'!$F$5=TH!H549,OR(N549="331",O549="331")),"x","")</f>
        <v/>
      </c>
      <c r="Q549" s="47" t="str">
        <f>IF(AND(B549='111'!$L$11,OR($N549=$Q$7,$O549=$Q$7)),"x","")</f>
        <v/>
      </c>
      <c r="R549" s="47" t="str">
        <f>IF(AND($N549=$Q$7,$B549&lt;'111'!$L$11),"x","")</f>
        <v/>
      </c>
      <c r="S549" s="47" t="str">
        <f>IF(AND($O549=$Q$7,$B549&lt;'111'!$L$11),"x","")</f>
        <v>x</v>
      </c>
    </row>
    <row r="550" spans="1:19" ht="15.75" customHeight="1">
      <c r="A550" s="152" t="str">
        <f>IF(B550&lt;&gt;"",IF(AND(B550='IN-TC'!$S$4,OR(TH!N550="1111",TH!O550="1111")),TH!D550,""),"")</f>
        <v/>
      </c>
      <c r="B550" s="34">
        <f t="shared" si="19"/>
        <v>4</v>
      </c>
      <c r="C550" s="35">
        <f t="shared" si="20"/>
        <v>42478</v>
      </c>
      <c r="D550" s="212" t="s">
        <v>914</v>
      </c>
      <c r="E550" s="35">
        <v>42478</v>
      </c>
      <c r="F550" s="144" t="s">
        <v>368</v>
      </c>
      <c r="G550" s="191" t="s">
        <v>204</v>
      </c>
      <c r="H550" s="198"/>
      <c r="I550" s="186"/>
      <c r="J550" s="186"/>
      <c r="K550" s="185"/>
      <c r="L550" s="186"/>
      <c r="M550" s="36">
        <v>240000000</v>
      </c>
      <c r="N550" s="37"/>
      <c r="O550" s="37" t="s">
        <v>34</v>
      </c>
      <c r="P550" s="47" t="str">
        <f>IF(AND('331-CT'!$F$5=TH!H550,OR(N550="331",O550="331")),"x","")</f>
        <v/>
      </c>
      <c r="Q550" s="47" t="str">
        <f>IF(AND(B550='111'!$L$11,OR($N550=$Q$7,$O550=$Q$7)),"x","")</f>
        <v/>
      </c>
      <c r="R550" s="47" t="str">
        <f>IF(AND($N550=$Q$7,$B550&lt;'111'!$L$11),"x","")</f>
        <v/>
      </c>
      <c r="S550" s="47" t="str">
        <f>IF(AND($O550=$Q$7,$B550&lt;'111'!$L$11),"x","")</f>
        <v>x</v>
      </c>
    </row>
    <row r="551" spans="1:19" ht="15.75" customHeight="1">
      <c r="A551" s="152" t="str">
        <f>IF(B551&lt;&gt;"",IF(AND(B551='IN-TC'!$S$4,OR(TH!N551="1111",TH!O551="1111")),TH!D551,""),"")</f>
        <v/>
      </c>
      <c r="B551" s="34">
        <f t="shared" si="19"/>
        <v>4</v>
      </c>
      <c r="C551" s="35">
        <f t="shared" si="20"/>
        <v>42478</v>
      </c>
      <c r="D551" s="212" t="s">
        <v>915</v>
      </c>
      <c r="E551" s="35">
        <v>42478</v>
      </c>
      <c r="F551" s="144" t="s">
        <v>566</v>
      </c>
      <c r="G551" s="191" t="s">
        <v>215</v>
      </c>
      <c r="H551" s="198"/>
      <c r="I551" s="186"/>
      <c r="J551" s="186"/>
      <c r="K551" s="185"/>
      <c r="L551" s="186"/>
      <c r="M551" s="36">
        <v>60000000</v>
      </c>
      <c r="N551" s="37"/>
      <c r="O551" s="37" t="s">
        <v>34</v>
      </c>
      <c r="P551" s="47" t="str">
        <f>IF(AND('331-CT'!$F$5=TH!H551,OR(N551="331",O551="331")),"x","")</f>
        <v/>
      </c>
      <c r="Q551" s="47" t="str">
        <f>IF(AND(B551='111'!$L$11,OR($N551=$Q$7,$O551=$Q$7)),"x","")</f>
        <v/>
      </c>
      <c r="R551" s="47" t="str">
        <f>IF(AND($N551=$Q$7,$B551&lt;'111'!$L$11),"x","")</f>
        <v/>
      </c>
      <c r="S551" s="47" t="str">
        <f>IF(AND($O551=$Q$7,$B551&lt;'111'!$L$11),"x","")</f>
        <v>x</v>
      </c>
    </row>
    <row r="552" spans="1:19" ht="15.75" customHeight="1">
      <c r="A552" s="152" t="str">
        <f>IF(B552&lt;&gt;"",IF(AND(B552='IN-TC'!$S$4,OR(TH!N552="1111",TH!O552="1111")),TH!D552,""),"")</f>
        <v/>
      </c>
      <c r="B552" s="34">
        <f t="shared" si="19"/>
        <v>4</v>
      </c>
      <c r="C552" s="35">
        <f t="shared" si="20"/>
        <v>42478</v>
      </c>
      <c r="D552" s="212" t="s">
        <v>916</v>
      </c>
      <c r="E552" s="35">
        <v>42478</v>
      </c>
      <c r="F552" s="144" t="s">
        <v>567</v>
      </c>
      <c r="G552" s="191" t="s">
        <v>105</v>
      </c>
      <c r="H552" s="198" t="s">
        <v>1418</v>
      </c>
      <c r="I552" s="186"/>
      <c r="J552" s="186"/>
      <c r="K552" s="185"/>
      <c r="L552" s="186"/>
      <c r="M552" s="36">
        <v>500000000</v>
      </c>
      <c r="N552" s="37" t="s">
        <v>812</v>
      </c>
      <c r="O552" s="37" t="s">
        <v>34</v>
      </c>
      <c r="P552" s="47" t="str">
        <f>IF(AND('331-CT'!$F$5=TH!H552,OR(N552="331",O552="331")),"x","")</f>
        <v/>
      </c>
      <c r="Q552" s="47" t="str">
        <f>IF(AND(B552='111'!$L$11,OR($N552=$Q$7,$O552=$Q$7)),"x","")</f>
        <v/>
      </c>
      <c r="R552" s="47" t="str">
        <f>IF(AND($N552=$Q$7,$B552&lt;'111'!$L$11),"x","")</f>
        <v/>
      </c>
      <c r="S552" s="47" t="str">
        <f>IF(AND($O552=$Q$7,$B552&lt;'111'!$L$11),"x","")</f>
        <v>x</v>
      </c>
    </row>
    <row r="553" spans="1:19" ht="15.75" customHeight="1">
      <c r="A553" s="152" t="str">
        <f>IF(B553&lt;&gt;"",IF(AND(B553='IN-TC'!$S$4,OR(TH!N553="1111",TH!O553="1111")),TH!D553,""),"")</f>
        <v/>
      </c>
      <c r="B553" s="34">
        <f t="shared" si="19"/>
        <v>4</v>
      </c>
      <c r="C553" s="35">
        <f t="shared" si="20"/>
        <v>42478</v>
      </c>
      <c r="D553" s="212" t="s">
        <v>916</v>
      </c>
      <c r="E553" s="35">
        <v>42478</v>
      </c>
      <c r="F553" s="144" t="s">
        <v>1426</v>
      </c>
      <c r="G553" s="191" t="s">
        <v>203</v>
      </c>
      <c r="H553" s="198" t="s">
        <v>1418</v>
      </c>
      <c r="I553" s="186"/>
      <c r="J553" s="186"/>
      <c r="K553" s="185"/>
      <c r="L553" s="186"/>
      <c r="M553" s="36">
        <v>16557000</v>
      </c>
      <c r="N553" s="37" t="s">
        <v>814</v>
      </c>
      <c r="O553" s="37" t="s">
        <v>34</v>
      </c>
      <c r="P553" s="47" t="str">
        <f>IF(AND('331-CT'!$F$5=TH!H553,OR(N553="331",O553="331")),"x","")</f>
        <v/>
      </c>
      <c r="Q553" s="47" t="str">
        <f>IF(AND(B553='111'!$L$11,OR($N553=$Q$7,$O553=$Q$7)),"x","")</f>
        <v/>
      </c>
      <c r="R553" s="47" t="str">
        <f>IF(AND($N553=$Q$7,$B553&lt;'111'!$L$11),"x","")</f>
        <v/>
      </c>
      <c r="S553" s="47" t="str">
        <f>IF(AND($O553=$Q$7,$B553&lt;'111'!$L$11),"x","")</f>
        <v>x</v>
      </c>
    </row>
    <row r="554" spans="1:19" ht="15.75" customHeight="1">
      <c r="A554" s="152" t="str">
        <f>IF(B554&lt;&gt;"",IF(AND(B554='IN-TC'!$S$4,OR(TH!N554="1111",TH!O554="1111")),TH!D554,""),"")</f>
        <v/>
      </c>
      <c r="B554" s="34">
        <f t="shared" si="19"/>
        <v>4</v>
      </c>
      <c r="C554" s="35">
        <f t="shared" si="20"/>
        <v>42478</v>
      </c>
      <c r="D554" s="212" t="s">
        <v>917</v>
      </c>
      <c r="E554" s="35">
        <v>42478</v>
      </c>
      <c r="F554" s="144" t="s">
        <v>568</v>
      </c>
      <c r="G554" s="191" t="s">
        <v>203</v>
      </c>
      <c r="H554" s="198" t="s">
        <v>1042</v>
      </c>
      <c r="I554" s="186"/>
      <c r="J554" s="186"/>
      <c r="K554" s="185"/>
      <c r="L554" s="186"/>
      <c r="M554" s="36">
        <v>25017000</v>
      </c>
      <c r="N554" s="37" t="s">
        <v>814</v>
      </c>
      <c r="O554" s="37" t="s">
        <v>34</v>
      </c>
      <c r="P554" s="47" t="str">
        <f>IF(AND('331-CT'!$F$5=TH!H554,OR(N554="331",O554="331")),"x","")</f>
        <v/>
      </c>
      <c r="Q554" s="47" t="str">
        <f>IF(AND(B554='111'!$L$11,OR($N554=$Q$7,$O554=$Q$7)),"x","")</f>
        <v/>
      </c>
      <c r="R554" s="47" t="str">
        <f>IF(AND($N554=$Q$7,$B554&lt;'111'!$L$11),"x","")</f>
        <v/>
      </c>
      <c r="S554" s="47" t="str">
        <f>IF(AND($O554=$Q$7,$B554&lt;'111'!$L$11),"x","")</f>
        <v>x</v>
      </c>
    </row>
    <row r="555" spans="1:19" ht="15.75" customHeight="1">
      <c r="A555" s="152" t="str">
        <f>IF(B555&lt;&gt;"",IF(AND(B555='IN-TC'!$S$4,OR(TH!N555="1111",TH!O555="1111")),TH!D555,""),"")</f>
        <v/>
      </c>
      <c r="B555" s="34">
        <f t="shared" si="19"/>
        <v>4</v>
      </c>
      <c r="C555" s="35">
        <f t="shared" si="20"/>
        <v>42478</v>
      </c>
      <c r="D555" s="212"/>
      <c r="E555" s="35">
        <v>42478</v>
      </c>
      <c r="F555" s="144" t="s">
        <v>1466</v>
      </c>
      <c r="G555" s="191" t="s">
        <v>204</v>
      </c>
      <c r="H555" s="198" t="s">
        <v>832</v>
      </c>
      <c r="I555" s="186">
        <v>361.5</v>
      </c>
      <c r="J555" s="186">
        <v>15000</v>
      </c>
      <c r="K555" s="185"/>
      <c r="L555" s="186"/>
      <c r="M555" s="36">
        <f>ROUND(I555*J555,0)</f>
        <v>5422500</v>
      </c>
      <c r="N555" s="37" t="s">
        <v>1443</v>
      </c>
      <c r="O555" s="37" t="s">
        <v>8</v>
      </c>
      <c r="P555" s="47" t="str">
        <f>IF(AND('331-CT'!$F$5=TH!H555,OR(N555="331",O555="331")),"x","")</f>
        <v/>
      </c>
      <c r="Q555" s="47" t="str">
        <f>IF(AND(B555='111'!$L$11,OR($N555=$Q$7,$O555=$Q$7)),"x","")</f>
        <v/>
      </c>
      <c r="R555" s="47" t="str">
        <f>IF(AND($N555=$Q$7,$B555&lt;'111'!$L$11),"x","")</f>
        <v/>
      </c>
      <c r="S555" s="47" t="str">
        <f>IF(AND($O555=$Q$7,$B555&lt;'111'!$L$11),"x","")</f>
        <v/>
      </c>
    </row>
    <row r="556" spans="1:19" ht="15.75" customHeight="1">
      <c r="A556" s="152" t="str">
        <f>IF(B556&lt;&gt;"",IF(AND(B556='IN-TC'!$S$4,OR(TH!N556="1111",TH!O556="1111")),TH!D556,""),"")</f>
        <v/>
      </c>
      <c r="B556" s="34">
        <f t="shared" si="19"/>
        <v>4</v>
      </c>
      <c r="C556" s="35">
        <f t="shared" si="20"/>
        <v>42478</v>
      </c>
      <c r="D556" s="212"/>
      <c r="E556" s="35">
        <v>42478</v>
      </c>
      <c r="F556" s="144" t="s">
        <v>1482</v>
      </c>
      <c r="G556" s="191" t="s">
        <v>204</v>
      </c>
      <c r="H556" s="198" t="s">
        <v>832</v>
      </c>
      <c r="I556" s="186">
        <v>3</v>
      </c>
      <c r="J556" s="186">
        <v>7000000</v>
      </c>
      <c r="K556" s="185"/>
      <c r="L556" s="186"/>
      <c r="M556" s="36">
        <f>ROUND(I556*J556,0)</f>
        <v>21000000</v>
      </c>
      <c r="N556" s="37" t="s">
        <v>1443</v>
      </c>
      <c r="O556" s="37" t="s">
        <v>8</v>
      </c>
      <c r="P556" s="47" t="str">
        <f>IF(AND('331-CT'!$F$5=TH!H556,OR(N556="331",O556="331")),"x","")</f>
        <v/>
      </c>
      <c r="Q556" s="47" t="str">
        <f>IF(AND(B556='111'!$L$11,OR($N556=$Q$7,$O556=$Q$7)),"x","")</f>
        <v/>
      </c>
      <c r="R556" s="47" t="str">
        <f>IF(AND($N556=$Q$7,$B556&lt;'111'!$L$11),"x","")</f>
        <v/>
      </c>
      <c r="S556" s="47" t="str">
        <f>IF(AND($O556=$Q$7,$B556&lt;'111'!$L$11),"x","")</f>
        <v/>
      </c>
    </row>
    <row r="557" spans="1:19" ht="15.75" customHeight="1">
      <c r="A557" s="152" t="str">
        <f>IF(B557&lt;&gt;"",IF(AND(B557='IN-TC'!$S$4,OR(TH!N557="1111",TH!O557="1111")),TH!D557,""),"")</f>
        <v/>
      </c>
      <c r="B557" s="34">
        <f t="shared" si="19"/>
        <v>4</v>
      </c>
      <c r="C557" s="35">
        <f t="shared" si="20"/>
        <v>42479</v>
      </c>
      <c r="D557" s="212" t="s">
        <v>1013</v>
      </c>
      <c r="E557" s="35">
        <v>42479</v>
      </c>
      <c r="F557" s="144" t="s">
        <v>134</v>
      </c>
      <c r="G557" s="191" t="s">
        <v>105</v>
      </c>
      <c r="H557" s="198" t="s">
        <v>1413</v>
      </c>
      <c r="I557" s="186"/>
      <c r="J557" s="186"/>
      <c r="K557" s="185"/>
      <c r="L557" s="186"/>
      <c r="M557" s="36">
        <v>500000000</v>
      </c>
      <c r="N557" s="37" t="s">
        <v>34</v>
      </c>
      <c r="O557" s="37" t="s">
        <v>812</v>
      </c>
      <c r="P557" s="47" t="str">
        <f>IF(AND('331-CT'!$F$5=TH!H557,OR(N557="331",O557="331")),"x","")</f>
        <v/>
      </c>
      <c r="Q557" s="47" t="str">
        <f>IF(AND(B557='111'!$L$11,OR($N557=$Q$7,$O557=$Q$7)),"x","")</f>
        <v/>
      </c>
      <c r="R557" s="47" t="str">
        <f>IF(AND($N557=$Q$7,$B557&lt;'111'!$L$11),"x","")</f>
        <v>x</v>
      </c>
      <c r="S557" s="47" t="str">
        <f>IF(AND($O557=$Q$7,$B557&lt;'111'!$L$11),"x","")</f>
        <v/>
      </c>
    </row>
    <row r="558" spans="1:19" ht="15.75" customHeight="1">
      <c r="A558" s="152" t="str">
        <f>IF(B558&lt;&gt;"",IF(AND(B558='IN-TC'!$S$4,OR(TH!N558="1111",TH!O558="1111")),TH!D558,""),"")</f>
        <v/>
      </c>
      <c r="B558" s="34">
        <f t="shared" si="19"/>
        <v>4</v>
      </c>
      <c r="C558" s="35">
        <f t="shared" si="20"/>
        <v>42479</v>
      </c>
      <c r="D558" s="212" t="s">
        <v>1014</v>
      </c>
      <c r="E558" s="35">
        <v>42479</v>
      </c>
      <c r="F558" s="144" t="s">
        <v>165</v>
      </c>
      <c r="G558" s="191" t="s">
        <v>112</v>
      </c>
      <c r="H558" s="198"/>
      <c r="I558" s="186"/>
      <c r="J558" s="186"/>
      <c r="K558" s="185"/>
      <c r="L558" s="186"/>
      <c r="M558" s="36">
        <v>75951000</v>
      </c>
      <c r="N558" s="37" t="s">
        <v>34</v>
      </c>
      <c r="O558" s="37"/>
      <c r="P558" s="47" t="str">
        <f>IF(AND('331-CT'!$F$5=TH!H558,OR(N558="331",O558="331")),"x","")</f>
        <v/>
      </c>
      <c r="Q558" s="47" t="str">
        <f>IF(AND(B558='111'!$L$11,OR($N558=$Q$7,$O558=$Q$7)),"x","")</f>
        <v/>
      </c>
      <c r="R558" s="47" t="str">
        <f>IF(AND($N558=$Q$7,$B558&lt;'111'!$L$11),"x","")</f>
        <v>x</v>
      </c>
      <c r="S558" s="47" t="str">
        <f>IF(AND($O558=$Q$7,$B558&lt;'111'!$L$11),"x","")</f>
        <v/>
      </c>
    </row>
    <row r="559" spans="1:19" ht="15.75" customHeight="1">
      <c r="A559" s="152" t="str">
        <f>IF(B559&lt;&gt;"",IF(AND(B559='IN-TC'!$S$4,OR(TH!N559="1111",TH!O559="1111")),TH!D559,""),"")</f>
        <v/>
      </c>
      <c r="B559" s="34">
        <f t="shared" si="19"/>
        <v>4</v>
      </c>
      <c r="C559" s="35">
        <f t="shared" si="20"/>
        <v>42479</v>
      </c>
      <c r="D559" s="212" t="s">
        <v>918</v>
      </c>
      <c r="E559" s="35">
        <v>42479</v>
      </c>
      <c r="F559" s="144" t="s">
        <v>333</v>
      </c>
      <c r="G559" s="191" t="s">
        <v>206</v>
      </c>
      <c r="H559" s="198" t="s">
        <v>821</v>
      </c>
      <c r="I559" s="186"/>
      <c r="J559" s="186"/>
      <c r="K559" s="185"/>
      <c r="L559" s="186"/>
      <c r="M559" s="36">
        <v>86951000</v>
      </c>
      <c r="N559" s="37" t="s">
        <v>8</v>
      </c>
      <c r="O559" s="37" t="s">
        <v>34</v>
      </c>
      <c r="P559" s="47" t="str">
        <f>IF(AND('331-CT'!$F$5=TH!H559,OR(N559="331",O559="331")),"x","")</f>
        <v/>
      </c>
      <c r="Q559" s="47" t="str">
        <f>IF(AND(B559='111'!$L$11,OR($N559=$Q$7,$O559=$Q$7)),"x","")</f>
        <v/>
      </c>
      <c r="R559" s="47" t="str">
        <f>IF(AND($N559=$Q$7,$B559&lt;'111'!$L$11),"x","")</f>
        <v/>
      </c>
      <c r="S559" s="47" t="str">
        <f>IF(AND($O559=$Q$7,$B559&lt;'111'!$L$11),"x","")</f>
        <v>x</v>
      </c>
    </row>
    <row r="560" spans="1:19" ht="15.75" customHeight="1">
      <c r="A560" s="152" t="str">
        <f>IF(B560&lt;&gt;"",IF(AND(B560='IN-TC'!$S$4,OR(TH!N560="1111",TH!O560="1111")),TH!D560,""),"")</f>
        <v/>
      </c>
      <c r="B560" s="34">
        <f t="shared" si="19"/>
        <v>4</v>
      </c>
      <c r="C560" s="35">
        <f t="shared" si="20"/>
        <v>42479</v>
      </c>
      <c r="D560" s="212" t="s">
        <v>919</v>
      </c>
      <c r="E560" s="35">
        <v>42479</v>
      </c>
      <c r="F560" s="144" t="s">
        <v>569</v>
      </c>
      <c r="G560" s="191" t="s">
        <v>206</v>
      </c>
      <c r="H560" s="198" t="s">
        <v>815</v>
      </c>
      <c r="I560" s="186"/>
      <c r="J560" s="186"/>
      <c r="K560" s="185"/>
      <c r="L560" s="186"/>
      <c r="M560" s="36">
        <v>80000000</v>
      </c>
      <c r="N560" s="37" t="s">
        <v>8</v>
      </c>
      <c r="O560" s="37" t="s">
        <v>34</v>
      </c>
      <c r="P560" s="47" t="str">
        <f>IF(AND('331-CT'!$F$5=TH!H560,OR(N560="331",O560="331")),"x","")</f>
        <v/>
      </c>
      <c r="Q560" s="47" t="str">
        <f>IF(AND(B560='111'!$L$11,OR($N560=$Q$7,$O560=$Q$7)),"x","")</f>
        <v/>
      </c>
      <c r="R560" s="47" t="str">
        <f>IF(AND($N560=$Q$7,$B560&lt;'111'!$L$11),"x","")</f>
        <v/>
      </c>
      <c r="S560" s="47" t="str">
        <f>IF(AND($O560=$Q$7,$B560&lt;'111'!$L$11),"x","")</f>
        <v>x</v>
      </c>
    </row>
    <row r="561" spans="1:19" ht="15.75" customHeight="1">
      <c r="A561" s="152" t="str">
        <f>IF(B561&lt;&gt;"",IF(AND(B561='IN-TC'!$S$4,OR(TH!N561="1111",TH!O561="1111")),TH!D561,""),"")</f>
        <v/>
      </c>
      <c r="B561" s="34">
        <f t="shared" si="19"/>
        <v>4</v>
      </c>
      <c r="C561" s="35">
        <f t="shared" si="20"/>
        <v>42479</v>
      </c>
      <c r="D561" s="212" t="s">
        <v>920</v>
      </c>
      <c r="E561" s="35">
        <v>42479</v>
      </c>
      <c r="F561" s="144" t="s">
        <v>382</v>
      </c>
      <c r="G561" s="191" t="s">
        <v>206</v>
      </c>
      <c r="H561" s="198" t="s">
        <v>848</v>
      </c>
      <c r="I561" s="186"/>
      <c r="J561" s="186"/>
      <c r="K561" s="185"/>
      <c r="L561" s="186"/>
      <c r="M561" s="36">
        <v>79000000</v>
      </c>
      <c r="N561" s="37" t="s">
        <v>8</v>
      </c>
      <c r="O561" s="37" t="s">
        <v>34</v>
      </c>
      <c r="P561" s="47" t="str">
        <f>IF(AND('331-CT'!$F$5=TH!H561,OR(N561="331",O561="331")),"x","")</f>
        <v/>
      </c>
      <c r="Q561" s="47" t="str">
        <f>IF(AND(B561='111'!$L$11,OR($N561=$Q$7,$O561=$Q$7)),"x","")</f>
        <v/>
      </c>
      <c r="R561" s="47" t="str">
        <f>IF(AND($N561=$Q$7,$B561&lt;'111'!$L$11),"x","")</f>
        <v/>
      </c>
      <c r="S561" s="47" t="str">
        <f>IF(AND($O561=$Q$7,$B561&lt;'111'!$L$11),"x","")</f>
        <v>x</v>
      </c>
    </row>
    <row r="562" spans="1:19" ht="15.75" customHeight="1">
      <c r="A562" s="152" t="str">
        <f>IF(B562&lt;&gt;"",IF(AND(B562='IN-TC'!$S$4,OR(TH!N562="1111",TH!O562="1111")),TH!D562,""),"")</f>
        <v/>
      </c>
      <c r="B562" s="34">
        <f t="shared" si="19"/>
        <v>4</v>
      </c>
      <c r="C562" s="35">
        <f t="shared" si="20"/>
        <v>42479</v>
      </c>
      <c r="D562" s="212" t="s">
        <v>921</v>
      </c>
      <c r="E562" s="35">
        <v>42479</v>
      </c>
      <c r="F562" s="144" t="s">
        <v>1395</v>
      </c>
      <c r="G562" s="191" t="s">
        <v>206</v>
      </c>
      <c r="H562" s="198" t="s">
        <v>847</v>
      </c>
      <c r="I562" s="186"/>
      <c r="J562" s="186"/>
      <c r="K562" s="185"/>
      <c r="L562" s="186"/>
      <c r="M562" s="36">
        <v>20000000</v>
      </c>
      <c r="N562" s="37" t="s">
        <v>8</v>
      </c>
      <c r="O562" s="37" t="s">
        <v>34</v>
      </c>
      <c r="P562" s="47" t="str">
        <f>IF(AND('331-CT'!$F$5=TH!H562,OR(N562="331",O562="331")),"x","")</f>
        <v/>
      </c>
      <c r="Q562" s="47" t="str">
        <f>IF(AND(B562='111'!$L$11,OR($N562=$Q$7,$O562=$Q$7)),"x","")</f>
        <v/>
      </c>
      <c r="R562" s="47" t="str">
        <f>IF(AND($N562=$Q$7,$B562&lt;'111'!$L$11),"x","")</f>
        <v/>
      </c>
      <c r="S562" s="47" t="str">
        <f>IF(AND($O562=$Q$7,$B562&lt;'111'!$L$11),"x","")</f>
        <v>x</v>
      </c>
    </row>
    <row r="563" spans="1:19" ht="15.75" customHeight="1">
      <c r="A563" s="152" t="str">
        <f>IF(B563&lt;&gt;"",IF(AND(B563='IN-TC'!$S$4,OR(TH!N563="1111",TH!O563="1111")),TH!D563,""),"")</f>
        <v/>
      </c>
      <c r="B563" s="34">
        <f t="shared" si="19"/>
        <v>4</v>
      </c>
      <c r="C563" s="35">
        <f t="shared" si="20"/>
        <v>42479</v>
      </c>
      <c r="D563" s="212" t="s">
        <v>922</v>
      </c>
      <c r="E563" s="35">
        <v>42479</v>
      </c>
      <c r="F563" s="144" t="s">
        <v>569</v>
      </c>
      <c r="G563" s="191" t="s">
        <v>206</v>
      </c>
      <c r="H563" s="198" t="s">
        <v>815</v>
      </c>
      <c r="I563" s="186"/>
      <c r="J563" s="186"/>
      <c r="K563" s="185"/>
      <c r="L563" s="186"/>
      <c r="M563" s="36">
        <v>100000000</v>
      </c>
      <c r="N563" s="37" t="s">
        <v>8</v>
      </c>
      <c r="O563" s="37" t="s">
        <v>34</v>
      </c>
      <c r="P563" s="47" t="str">
        <f>IF(AND('331-CT'!$F$5=TH!H563,OR(N563="331",O563="331")),"x","")</f>
        <v/>
      </c>
      <c r="Q563" s="47" t="str">
        <f>IF(AND(B563='111'!$L$11,OR($N563=$Q$7,$O563=$Q$7)),"x","")</f>
        <v/>
      </c>
      <c r="R563" s="47" t="str">
        <f>IF(AND($N563=$Q$7,$B563&lt;'111'!$L$11),"x","")</f>
        <v/>
      </c>
      <c r="S563" s="47" t="str">
        <f>IF(AND($O563=$Q$7,$B563&lt;'111'!$L$11),"x","")</f>
        <v>x</v>
      </c>
    </row>
    <row r="564" spans="1:19" ht="15.75" customHeight="1">
      <c r="A564" s="152" t="str">
        <f>IF(B564&lt;&gt;"",IF(AND(B564='IN-TC'!$S$4,OR(TH!N564="1111",TH!O564="1111")),TH!D564,""),"")</f>
        <v/>
      </c>
      <c r="B564" s="34">
        <f t="shared" si="19"/>
        <v>4</v>
      </c>
      <c r="C564" s="35">
        <f t="shared" si="20"/>
        <v>42479</v>
      </c>
      <c r="D564" s="212" t="s">
        <v>923</v>
      </c>
      <c r="E564" s="35">
        <v>42479</v>
      </c>
      <c r="F564" s="144" t="s">
        <v>570</v>
      </c>
      <c r="G564" s="191" t="s">
        <v>204</v>
      </c>
      <c r="H564" s="198"/>
      <c r="I564" s="186"/>
      <c r="J564" s="186"/>
      <c r="K564" s="185"/>
      <c r="L564" s="186"/>
      <c r="M564" s="36">
        <v>210000000</v>
      </c>
      <c r="N564" s="37"/>
      <c r="O564" s="37" t="s">
        <v>34</v>
      </c>
      <c r="P564" s="47" t="str">
        <f>IF(AND('331-CT'!$F$5=TH!H564,OR(N564="331",O564="331")),"x","")</f>
        <v/>
      </c>
      <c r="Q564" s="47" t="str">
        <f>IF(AND(B564='111'!$L$11,OR($N564=$Q$7,$O564=$Q$7)),"x","")</f>
        <v/>
      </c>
      <c r="R564" s="47" t="str">
        <f>IF(AND($N564=$Q$7,$B564&lt;'111'!$L$11),"x","")</f>
        <v/>
      </c>
      <c r="S564" s="47" t="str">
        <f>IF(AND($O564=$Q$7,$B564&lt;'111'!$L$11),"x","")</f>
        <v>x</v>
      </c>
    </row>
    <row r="565" spans="1:19" ht="15.75" customHeight="1">
      <c r="A565" s="152" t="str">
        <f>IF(B565&lt;&gt;"",IF(AND(B565='IN-TC'!$S$4,OR(TH!N565="1111",TH!O565="1111")),TH!D565,""),"")</f>
        <v/>
      </c>
      <c r="B565" s="34">
        <f t="shared" si="19"/>
        <v>4</v>
      </c>
      <c r="C565" s="35">
        <f t="shared" si="20"/>
        <v>42479</v>
      </c>
      <c r="D565" s="212" t="s">
        <v>924</v>
      </c>
      <c r="E565" s="35">
        <v>42479</v>
      </c>
      <c r="F565" s="144" t="s">
        <v>571</v>
      </c>
      <c r="G565" s="191" t="s">
        <v>221</v>
      </c>
      <c r="H565" s="198"/>
      <c r="I565" s="186"/>
      <c r="J565" s="186"/>
      <c r="K565" s="185"/>
      <c r="L565" s="186"/>
      <c r="M565" s="36">
        <v>150000000</v>
      </c>
      <c r="N565" s="37"/>
      <c r="O565" s="37" t="s">
        <v>34</v>
      </c>
      <c r="P565" s="47" t="str">
        <f>IF(AND('331-CT'!$F$5=TH!H565,OR(N565="331",O565="331")),"x","")</f>
        <v/>
      </c>
      <c r="Q565" s="47" t="str">
        <f>IF(AND(B565='111'!$L$11,OR($N565=$Q$7,$O565=$Q$7)),"x","")</f>
        <v/>
      </c>
      <c r="R565" s="47" t="str">
        <f>IF(AND($N565=$Q$7,$B565&lt;'111'!$L$11),"x","")</f>
        <v/>
      </c>
      <c r="S565" s="47" t="str">
        <f>IF(AND($O565=$Q$7,$B565&lt;'111'!$L$11),"x","")</f>
        <v>x</v>
      </c>
    </row>
    <row r="566" spans="1:19" ht="15.75" customHeight="1">
      <c r="A566" s="152" t="str">
        <f>IF(B566&lt;&gt;"",IF(AND(B566='IN-TC'!$S$4,OR(TH!N566="1111",TH!O566="1111")),TH!D566,""),"")</f>
        <v/>
      </c>
      <c r="B566" s="34">
        <f t="shared" si="19"/>
        <v>4</v>
      </c>
      <c r="C566" s="35">
        <f t="shared" si="20"/>
        <v>42479</v>
      </c>
      <c r="D566" s="212" t="s">
        <v>925</v>
      </c>
      <c r="E566" s="35">
        <v>42479</v>
      </c>
      <c r="F566" s="144" t="s">
        <v>315</v>
      </c>
      <c r="G566" s="191" t="s">
        <v>206</v>
      </c>
      <c r="H566" s="198" t="s">
        <v>823</v>
      </c>
      <c r="I566" s="186"/>
      <c r="J566" s="186"/>
      <c r="K566" s="185"/>
      <c r="L566" s="186"/>
      <c r="M566" s="36">
        <v>115884000</v>
      </c>
      <c r="N566" s="37" t="s">
        <v>8</v>
      </c>
      <c r="O566" s="37" t="s">
        <v>34</v>
      </c>
      <c r="P566" s="47" t="str">
        <f>IF(AND('331-CT'!$F$5=TH!H566,OR(N566="331",O566="331")),"x","")</f>
        <v/>
      </c>
      <c r="Q566" s="47" t="str">
        <f>IF(AND(B566='111'!$L$11,OR($N566=$Q$7,$O566=$Q$7)),"x","")</f>
        <v/>
      </c>
      <c r="R566" s="47" t="str">
        <f>IF(AND($N566=$Q$7,$B566&lt;'111'!$L$11),"x","")</f>
        <v/>
      </c>
      <c r="S566" s="47" t="str">
        <f>IF(AND($O566=$Q$7,$B566&lt;'111'!$L$11),"x","")</f>
        <v>x</v>
      </c>
    </row>
    <row r="567" spans="1:19" ht="15.75" customHeight="1">
      <c r="A567" s="152" t="str">
        <f>IF(B567&lt;&gt;"",IF(AND(B567='IN-TC'!$S$4,OR(TH!N567="1111",TH!O567="1111")),TH!D567,""),"")</f>
        <v/>
      </c>
      <c r="B567" s="34">
        <f t="shared" si="19"/>
        <v>4</v>
      </c>
      <c r="C567" s="35">
        <f t="shared" si="20"/>
        <v>42479</v>
      </c>
      <c r="D567" s="212" t="s">
        <v>926</v>
      </c>
      <c r="E567" s="35">
        <v>42479</v>
      </c>
      <c r="F567" s="144" t="s">
        <v>299</v>
      </c>
      <c r="G567" s="191" t="s">
        <v>206</v>
      </c>
      <c r="H567" s="198" t="s">
        <v>846</v>
      </c>
      <c r="I567" s="186"/>
      <c r="J567" s="186"/>
      <c r="K567" s="185"/>
      <c r="L567" s="186"/>
      <c r="M567" s="36">
        <v>70000000</v>
      </c>
      <c r="N567" s="37" t="s">
        <v>8</v>
      </c>
      <c r="O567" s="37" t="s">
        <v>34</v>
      </c>
      <c r="P567" s="47" t="str">
        <f>IF(AND('331-CT'!$F$5=TH!H567,OR(N567="331",O567="331")),"x","")</f>
        <v/>
      </c>
      <c r="Q567" s="47" t="str">
        <f>IF(AND(B567='111'!$L$11,OR($N567=$Q$7,$O567=$Q$7)),"x","")</f>
        <v/>
      </c>
      <c r="R567" s="47" t="str">
        <f>IF(AND($N567=$Q$7,$B567&lt;'111'!$L$11),"x","")</f>
        <v/>
      </c>
      <c r="S567" s="47" t="str">
        <f>IF(AND($O567=$Q$7,$B567&lt;'111'!$L$11),"x","")</f>
        <v>x</v>
      </c>
    </row>
    <row r="568" spans="1:19" ht="15.75" customHeight="1">
      <c r="A568" s="152" t="str">
        <f>IF(B568&lt;&gt;"",IF(AND(B568='IN-TC'!$S$4,OR(TH!N568="1111",TH!O568="1111")),TH!D568,""),"")</f>
        <v/>
      </c>
      <c r="B568" s="34">
        <f t="shared" si="19"/>
        <v>4</v>
      </c>
      <c r="C568" s="35">
        <f t="shared" si="20"/>
        <v>42479</v>
      </c>
      <c r="D568" s="212" t="s">
        <v>927</v>
      </c>
      <c r="E568" s="35">
        <v>42479</v>
      </c>
      <c r="F568" s="144" t="s">
        <v>1395</v>
      </c>
      <c r="G568" s="191" t="s">
        <v>206</v>
      </c>
      <c r="H568" s="198" t="s">
        <v>847</v>
      </c>
      <c r="I568" s="186"/>
      <c r="J568" s="186"/>
      <c r="K568" s="185"/>
      <c r="L568" s="186"/>
      <c r="M568" s="36">
        <v>40017000</v>
      </c>
      <c r="N568" s="37" t="s">
        <v>8</v>
      </c>
      <c r="O568" s="37" t="s">
        <v>34</v>
      </c>
      <c r="P568" s="47" t="str">
        <f>IF(AND('331-CT'!$F$5=TH!H568,OR(N568="331",O568="331")),"x","")</f>
        <v/>
      </c>
      <c r="Q568" s="47" t="str">
        <f>IF(AND(B568='111'!$L$11,OR($N568=$Q$7,$O568=$Q$7)),"x","")</f>
        <v/>
      </c>
      <c r="R568" s="47" t="str">
        <f>IF(AND($N568=$Q$7,$B568&lt;'111'!$L$11),"x","")</f>
        <v/>
      </c>
      <c r="S568" s="47" t="str">
        <f>IF(AND($O568=$Q$7,$B568&lt;'111'!$L$11),"x","")</f>
        <v>x</v>
      </c>
    </row>
    <row r="569" spans="1:19" ht="15.75" customHeight="1">
      <c r="A569" s="152" t="str">
        <f>IF(B569&lt;&gt;"",IF(AND(B569='IN-TC'!$S$4,OR(TH!N569="1111",TH!O569="1111")),TH!D569,""),"")</f>
        <v/>
      </c>
      <c r="B569" s="34">
        <f t="shared" si="19"/>
        <v>4</v>
      </c>
      <c r="C569" s="35">
        <f t="shared" si="20"/>
        <v>42479</v>
      </c>
      <c r="D569" s="212" t="s">
        <v>928</v>
      </c>
      <c r="E569" s="35">
        <v>42479</v>
      </c>
      <c r="F569" s="144" t="s">
        <v>572</v>
      </c>
      <c r="G569" s="191" t="s">
        <v>206</v>
      </c>
      <c r="H569" s="198" t="s">
        <v>816</v>
      </c>
      <c r="I569" s="186"/>
      <c r="J569" s="186"/>
      <c r="K569" s="185"/>
      <c r="L569" s="186"/>
      <c r="M569" s="36">
        <v>70226000</v>
      </c>
      <c r="N569" s="37" t="s">
        <v>8</v>
      </c>
      <c r="O569" s="37" t="s">
        <v>34</v>
      </c>
      <c r="P569" s="47" t="str">
        <f>IF(AND('331-CT'!$F$5=TH!H569,OR(N569="331",O569="331")),"x","")</f>
        <v/>
      </c>
      <c r="Q569" s="47" t="str">
        <f>IF(AND(B569='111'!$L$11,OR($N569=$Q$7,$O569=$Q$7)),"x","")</f>
        <v/>
      </c>
      <c r="R569" s="47" t="str">
        <f>IF(AND($N569=$Q$7,$B569&lt;'111'!$L$11),"x","")</f>
        <v/>
      </c>
      <c r="S569" s="47" t="str">
        <f>IF(AND($O569=$Q$7,$B569&lt;'111'!$L$11),"x","")</f>
        <v>x</v>
      </c>
    </row>
    <row r="570" spans="1:19" ht="15.75" customHeight="1">
      <c r="A570" s="152" t="str">
        <f>IF(B570&lt;&gt;"",IF(AND(B570='IN-TC'!$S$4,OR(TH!N570="1111",TH!O570="1111")),TH!D570,""),"")</f>
        <v/>
      </c>
      <c r="B570" s="34">
        <f t="shared" si="19"/>
        <v>4</v>
      </c>
      <c r="C570" s="35">
        <f t="shared" si="20"/>
        <v>42479</v>
      </c>
      <c r="D570" s="212" t="s">
        <v>929</v>
      </c>
      <c r="E570" s="35">
        <v>42479</v>
      </c>
      <c r="F570" s="144" t="s">
        <v>573</v>
      </c>
      <c r="G570" s="191" t="s">
        <v>206</v>
      </c>
      <c r="H570" s="198" t="s">
        <v>819</v>
      </c>
      <c r="I570" s="186"/>
      <c r="J570" s="186"/>
      <c r="K570" s="185"/>
      <c r="L570" s="186"/>
      <c r="M570" s="36">
        <v>50000000</v>
      </c>
      <c r="N570" s="37" t="s">
        <v>8</v>
      </c>
      <c r="O570" s="37" t="s">
        <v>34</v>
      </c>
      <c r="P570" s="47" t="str">
        <f>IF(AND('331-CT'!$F$5=TH!H570,OR(N570="331",O570="331")),"x","")</f>
        <v/>
      </c>
      <c r="Q570" s="47" t="str">
        <f>IF(AND(B570='111'!$L$11,OR($N570=$Q$7,$O570=$Q$7)),"x","")</f>
        <v/>
      </c>
      <c r="R570" s="47" t="str">
        <f>IF(AND($N570=$Q$7,$B570&lt;'111'!$L$11),"x","")</f>
        <v/>
      </c>
      <c r="S570" s="47" t="str">
        <f>IF(AND($O570=$Q$7,$B570&lt;'111'!$L$11),"x","")</f>
        <v>x</v>
      </c>
    </row>
    <row r="571" spans="1:19" ht="15.75" customHeight="1">
      <c r="A571" s="152" t="str">
        <f>IF(B571&lt;&gt;"",IF(AND(B571='IN-TC'!$S$4,OR(TH!N571="1111",TH!O571="1111")),TH!D571,""),"")</f>
        <v/>
      </c>
      <c r="B571" s="34">
        <f t="shared" si="19"/>
        <v>4</v>
      </c>
      <c r="C571" s="35">
        <f t="shared" si="20"/>
        <v>42479</v>
      </c>
      <c r="D571" s="212" t="s">
        <v>940</v>
      </c>
      <c r="E571" s="35">
        <v>42479</v>
      </c>
      <c r="F571" s="144" t="s">
        <v>529</v>
      </c>
      <c r="G571" s="191" t="s">
        <v>206</v>
      </c>
      <c r="H571" s="198" t="s">
        <v>832</v>
      </c>
      <c r="I571" s="186"/>
      <c r="J571" s="186"/>
      <c r="K571" s="185"/>
      <c r="L571" s="186"/>
      <c r="M571" s="36">
        <v>68551000</v>
      </c>
      <c r="N571" s="37" t="s">
        <v>8</v>
      </c>
      <c r="O571" s="37" t="s">
        <v>34</v>
      </c>
      <c r="P571" s="47" t="str">
        <f>IF(AND('331-CT'!$F$5=TH!H571,OR(N571="331",O571="331")),"x","")</f>
        <v/>
      </c>
      <c r="Q571" s="47" t="str">
        <f>IF(AND(B571='111'!$L$11,OR($N571=$Q$7,$O571=$Q$7)),"x","")</f>
        <v/>
      </c>
      <c r="R571" s="47" t="str">
        <f>IF(AND($N571=$Q$7,$B571&lt;'111'!$L$11),"x","")</f>
        <v/>
      </c>
      <c r="S571" s="47" t="str">
        <f>IF(AND($O571=$Q$7,$B571&lt;'111'!$L$11),"x","")</f>
        <v>x</v>
      </c>
    </row>
    <row r="572" spans="1:19" ht="15.75" customHeight="1">
      <c r="A572" s="152" t="str">
        <f>IF(B572&lt;&gt;"",IF(AND(B572='IN-TC'!$S$4,OR(TH!N572="1111",TH!O572="1111")),TH!D572,""),"")</f>
        <v/>
      </c>
      <c r="B572" s="34">
        <f t="shared" si="19"/>
        <v>4</v>
      </c>
      <c r="C572" s="35">
        <f t="shared" si="20"/>
        <v>42479</v>
      </c>
      <c r="D572" s="212" t="s">
        <v>941</v>
      </c>
      <c r="E572" s="35">
        <v>42479</v>
      </c>
      <c r="F572" s="144" t="s">
        <v>574</v>
      </c>
      <c r="G572" s="191" t="s">
        <v>219</v>
      </c>
      <c r="H572" s="198"/>
      <c r="I572" s="186"/>
      <c r="J572" s="186"/>
      <c r="K572" s="185"/>
      <c r="L572" s="186"/>
      <c r="M572" s="36">
        <v>2000000</v>
      </c>
      <c r="N572" s="37"/>
      <c r="O572" s="37" t="s">
        <v>34</v>
      </c>
      <c r="P572" s="47" t="str">
        <f>IF(AND('331-CT'!$F$5=TH!H572,OR(N572="331",O572="331")),"x","")</f>
        <v/>
      </c>
      <c r="Q572" s="47" t="str">
        <f>IF(AND(B572='111'!$L$11,OR($N572=$Q$7,$O572=$Q$7)),"x","")</f>
        <v/>
      </c>
      <c r="R572" s="47" t="str">
        <f>IF(AND($N572=$Q$7,$B572&lt;'111'!$L$11),"x","")</f>
        <v/>
      </c>
      <c r="S572" s="47" t="str">
        <f>IF(AND($O572=$Q$7,$B572&lt;'111'!$L$11),"x","")</f>
        <v>x</v>
      </c>
    </row>
    <row r="573" spans="1:19" ht="15.75" customHeight="1">
      <c r="A573" s="152" t="str">
        <f>IF(B573&lt;&gt;"",IF(AND(B573='IN-TC'!$S$4,OR(TH!N573="1111",TH!O573="1111")),TH!D573,""),"")</f>
        <v/>
      </c>
      <c r="B573" s="34">
        <f t="shared" si="19"/>
        <v>4</v>
      </c>
      <c r="C573" s="35">
        <f t="shared" si="20"/>
        <v>42480</v>
      </c>
      <c r="D573" s="212" t="s">
        <v>942</v>
      </c>
      <c r="E573" s="35">
        <v>42480</v>
      </c>
      <c r="F573" s="144" t="s">
        <v>537</v>
      </c>
      <c r="G573" s="191" t="s">
        <v>207</v>
      </c>
      <c r="H573" s="198"/>
      <c r="I573" s="186"/>
      <c r="J573" s="186"/>
      <c r="K573" s="185"/>
      <c r="L573" s="186"/>
      <c r="M573" s="36">
        <v>500000</v>
      </c>
      <c r="N573" s="37"/>
      <c r="O573" s="37" t="s">
        <v>34</v>
      </c>
      <c r="P573" s="47" t="str">
        <f>IF(AND('331-CT'!$F$5=TH!H573,OR(N573="331",O573="331")),"x","")</f>
        <v/>
      </c>
      <c r="Q573" s="47" t="str">
        <f>IF(AND(B573='111'!$L$11,OR($N573=$Q$7,$O573=$Q$7)),"x","")</f>
        <v/>
      </c>
      <c r="R573" s="47" t="str">
        <f>IF(AND($N573=$Q$7,$B573&lt;'111'!$L$11),"x","")</f>
        <v/>
      </c>
      <c r="S573" s="47" t="str">
        <f>IF(AND($O573=$Q$7,$B573&lt;'111'!$L$11),"x","")</f>
        <v>x</v>
      </c>
    </row>
    <row r="574" spans="1:19" ht="15.75" customHeight="1">
      <c r="A574" s="152" t="str">
        <f>IF(B574&lt;&gt;"",IF(AND(B574='IN-TC'!$S$4,OR(TH!N574="1111",TH!O574="1111")),TH!D574,""),"")</f>
        <v/>
      </c>
      <c r="B574" s="34">
        <f t="shared" si="19"/>
        <v>4</v>
      </c>
      <c r="C574" s="35">
        <f t="shared" si="20"/>
        <v>42480</v>
      </c>
      <c r="D574" s="212" t="s">
        <v>943</v>
      </c>
      <c r="E574" s="35">
        <v>42480</v>
      </c>
      <c r="F574" s="144" t="s">
        <v>575</v>
      </c>
      <c r="G574" s="191" t="s">
        <v>111</v>
      </c>
      <c r="H574" s="198"/>
      <c r="I574" s="186"/>
      <c r="J574" s="186"/>
      <c r="K574" s="185"/>
      <c r="L574" s="186"/>
      <c r="M574" s="36">
        <v>110000</v>
      </c>
      <c r="N574" s="37"/>
      <c r="O574" s="37" t="s">
        <v>34</v>
      </c>
      <c r="P574" s="47" t="str">
        <f>IF(AND('331-CT'!$F$5=TH!H574,OR(N574="331",O574="331")),"x","")</f>
        <v/>
      </c>
      <c r="Q574" s="47" t="str">
        <f>IF(AND(B574='111'!$L$11,OR($N574=$Q$7,$O574=$Q$7)),"x","")</f>
        <v/>
      </c>
      <c r="R574" s="47" t="str">
        <f>IF(AND($N574=$Q$7,$B574&lt;'111'!$L$11),"x","")</f>
        <v/>
      </c>
      <c r="S574" s="47" t="str">
        <f>IF(AND($O574=$Q$7,$B574&lt;'111'!$L$11),"x","")</f>
        <v>x</v>
      </c>
    </row>
    <row r="575" spans="1:19" ht="15.75" customHeight="1">
      <c r="A575" s="152" t="str">
        <f>IF(B575&lt;&gt;"",IF(AND(B575='IN-TC'!$S$4,OR(TH!N575="1111",TH!O575="1111")),TH!D575,""),"")</f>
        <v/>
      </c>
      <c r="B575" s="34">
        <f t="shared" si="19"/>
        <v>4</v>
      </c>
      <c r="C575" s="35">
        <f t="shared" si="20"/>
        <v>42480</v>
      </c>
      <c r="D575" s="212" t="s">
        <v>944</v>
      </c>
      <c r="E575" s="35">
        <v>42480</v>
      </c>
      <c r="F575" s="144" t="s">
        <v>576</v>
      </c>
      <c r="G575" s="191" t="s">
        <v>111</v>
      </c>
      <c r="H575" s="198"/>
      <c r="I575" s="186"/>
      <c r="J575" s="186"/>
      <c r="K575" s="185"/>
      <c r="L575" s="186"/>
      <c r="M575" s="36">
        <v>225000</v>
      </c>
      <c r="N575" s="37"/>
      <c r="O575" s="37" t="s">
        <v>34</v>
      </c>
      <c r="P575" s="47" t="str">
        <f>IF(AND('331-CT'!$F$5=TH!H575,OR(N575="331",O575="331")),"x","")</f>
        <v/>
      </c>
      <c r="Q575" s="47" t="str">
        <f>IF(AND(B575='111'!$L$11,OR($N575=$Q$7,$O575=$Q$7)),"x","")</f>
        <v/>
      </c>
      <c r="R575" s="47" t="str">
        <f>IF(AND($N575=$Q$7,$B575&lt;'111'!$L$11),"x","")</f>
        <v/>
      </c>
      <c r="S575" s="47" t="str">
        <f>IF(AND($O575=$Q$7,$B575&lt;'111'!$L$11),"x","")</f>
        <v>x</v>
      </c>
    </row>
    <row r="576" spans="1:19" ht="15.75" customHeight="1">
      <c r="A576" s="152" t="str">
        <f>IF(B576&lt;&gt;"",IF(AND(B576='IN-TC'!$S$4,OR(TH!N576="1111",TH!O576="1111")),TH!D576,""),"")</f>
        <v/>
      </c>
      <c r="B576" s="34">
        <f t="shared" si="19"/>
        <v>4</v>
      </c>
      <c r="C576" s="35">
        <f t="shared" si="20"/>
        <v>42480</v>
      </c>
      <c r="D576" s="212" t="s">
        <v>945</v>
      </c>
      <c r="E576" s="35">
        <v>42480</v>
      </c>
      <c r="F576" s="144" t="s">
        <v>577</v>
      </c>
      <c r="G576" s="191" t="s">
        <v>224</v>
      </c>
      <c r="H576" s="198"/>
      <c r="I576" s="186"/>
      <c r="J576" s="186"/>
      <c r="K576" s="185"/>
      <c r="L576" s="186"/>
      <c r="M576" s="36">
        <v>36618000</v>
      </c>
      <c r="N576" s="37"/>
      <c r="O576" s="37" t="s">
        <v>34</v>
      </c>
      <c r="P576" s="47" t="str">
        <f>IF(AND('331-CT'!$F$5=TH!H576,OR(N576="331",O576="331")),"x","")</f>
        <v/>
      </c>
      <c r="Q576" s="47" t="str">
        <f>IF(AND(B576='111'!$L$11,OR($N576=$Q$7,$O576=$Q$7)),"x","")</f>
        <v/>
      </c>
      <c r="R576" s="47" t="str">
        <f>IF(AND($N576=$Q$7,$B576&lt;'111'!$L$11),"x","")</f>
        <v/>
      </c>
      <c r="S576" s="47" t="str">
        <f>IF(AND($O576=$Q$7,$B576&lt;'111'!$L$11),"x","")</f>
        <v>x</v>
      </c>
    </row>
    <row r="577" spans="1:19" ht="15.75" customHeight="1">
      <c r="A577" s="152" t="str">
        <f>IF(B577&lt;&gt;"",IF(AND(B577='IN-TC'!$S$4,OR(TH!N577="1111",TH!O577="1111")),TH!D577,""),"")</f>
        <v/>
      </c>
      <c r="B577" s="34">
        <f t="shared" si="19"/>
        <v>4</v>
      </c>
      <c r="C577" s="35">
        <f t="shared" si="20"/>
        <v>42480</v>
      </c>
      <c r="D577" s="212" t="s">
        <v>946</v>
      </c>
      <c r="E577" s="35">
        <v>42480</v>
      </c>
      <c r="F577" s="144" t="s">
        <v>578</v>
      </c>
      <c r="G577" s="191" t="s">
        <v>202</v>
      </c>
      <c r="H577" s="198"/>
      <c r="I577" s="186"/>
      <c r="J577" s="186"/>
      <c r="K577" s="185"/>
      <c r="L577" s="186"/>
      <c r="M577" s="36">
        <v>1935000</v>
      </c>
      <c r="N577" s="37"/>
      <c r="O577" s="37" t="s">
        <v>34</v>
      </c>
      <c r="P577" s="47" t="str">
        <f>IF(AND('331-CT'!$F$5=TH!H577,OR(N577="331",O577="331")),"x","")</f>
        <v/>
      </c>
      <c r="Q577" s="47" t="str">
        <f>IF(AND(B577='111'!$L$11,OR($N577=$Q$7,$O577=$Q$7)),"x","")</f>
        <v/>
      </c>
      <c r="R577" s="47" t="str">
        <f>IF(AND($N577=$Q$7,$B577&lt;'111'!$L$11),"x","")</f>
        <v/>
      </c>
      <c r="S577" s="47" t="str">
        <f>IF(AND($O577=$Q$7,$B577&lt;'111'!$L$11),"x","")</f>
        <v>x</v>
      </c>
    </row>
    <row r="578" spans="1:19" ht="15.75" customHeight="1">
      <c r="A578" s="152" t="str">
        <f>IF(B578&lt;&gt;"",IF(AND(B578='IN-TC'!$S$4,OR(TH!N578="1111",TH!O578="1111")),TH!D578,""),"")</f>
        <v/>
      </c>
      <c r="B578" s="34">
        <f t="shared" si="19"/>
        <v>4</v>
      </c>
      <c r="C578" s="35">
        <f t="shared" si="20"/>
        <v>42480</v>
      </c>
      <c r="D578" s="212"/>
      <c r="E578" s="35">
        <v>42480</v>
      </c>
      <c r="F578" s="144" t="s">
        <v>1467</v>
      </c>
      <c r="G578" s="191"/>
      <c r="H578" s="198" t="s">
        <v>831</v>
      </c>
      <c r="I578" s="186">
        <v>1070</v>
      </c>
      <c r="J578" s="186">
        <v>15000</v>
      </c>
      <c r="K578" s="185"/>
      <c r="L578" s="186"/>
      <c r="M578" s="36">
        <f>ROUND(I578*J578,0)</f>
        <v>16050000</v>
      </c>
      <c r="N578" s="37" t="s">
        <v>1443</v>
      </c>
      <c r="O578" s="37" t="s">
        <v>8</v>
      </c>
      <c r="P578" s="47" t="str">
        <f>IF(AND('331-CT'!$F$5=TH!H578,OR(N578="331",O578="331")),"x","")</f>
        <v/>
      </c>
      <c r="Q578" s="47" t="str">
        <f>IF(AND(B578='111'!$L$11,OR($N578=$Q$7,$O578=$Q$7)),"x","")</f>
        <v/>
      </c>
      <c r="R578" s="47" t="str">
        <f>IF(AND($N578=$Q$7,$B578&lt;'111'!$L$11),"x","")</f>
        <v/>
      </c>
      <c r="S578" s="47" t="str">
        <f>IF(AND($O578=$Q$7,$B578&lt;'111'!$L$11),"x","")</f>
        <v/>
      </c>
    </row>
    <row r="579" spans="1:19" ht="15.75" customHeight="1">
      <c r="A579" s="152" t="str">
        <f>IF(B579&lt;&gt;"",IF(AND(B579='IN-TC'!$S$4,OR(TH!N579="1111",TH!O579="1111")),TH!D579,""),"")</f>
        <v/>
      </c>
      <c r="B579" s="34">
        <f t="shared" si="19"/>
        <v>4</v>
      </c>
      <c r="C579" s="35">
        <f t="shared" si="20"/>
        <v>42481</v>
      </c>
      <c r="D579" s="212" t="s">
        <v>1015</v>
      </c>
      <c r="E579" s="35">
        <v>42481</v>
      </c>
      <c r="F579" s="144" t="s">
        <v>166</v>
      </c>
      <c r="G579" s="191" t="s">
        <v>105</v>
      </c>
      <c r="H579" s="198" t="s">
        <v>1409</v>
      </c>
      <c r="I579" s="186"/>
      <c r="J579" s="186"/>
      <c r="K579" s="185"/>
      <c r="L579" s="186"/>
      <c r="M579" s="36">
        <v>400000000</v>
      </c>
      <c r="N579" s="37" t="s">
        <v>34</v>
      </c>
      <c r="O579" s="37" t="s">
        <v>812</v>
      </c>
      <c r="P579" s="47" t="str">
        <f>IF(AND('331-CT'!$F$5=TH!H579,OR(N579="331",O579="331")),"x","")</f>
        <v/>
      </c>
      <c r="Q579" s="47" t="str">
        <f>IF(AND(B579='111'!$L$11,OR($N579=$Q$7,$O579=$Q$7)),"x","")</f>
        <v/>
      </c>
      <c r="R579" s="47" t="str">
        <f>IF(AND($N579=$Q$7,$B579&lt;'111'!$L$11),"x","")</f>
        <v>x</v>
      </c>
      <c r="S579" s="47" t="str">
        <f>IF(AND($O579=$Q$7,$B579&lt;'111'!$L$11),"x","")</f>
        <v/>
      </c>
    </row>
    <row r="580" spans="1:19" ht="15.75" customHeight="1">
      <c r="A580" s="152" t="str">
        <f>IF(B580&lt;&gt;"",IF(AND(B580='IN-TC'!$S$4,OR(TH!N580="1111",TH!O580="1111")),TH!D580,""),"")</f>
        <v/>
      </c>
      <c r="B580" s="34">
        <f t="shared" si="19"/>
        <v>4</v>
      </c>
      <c r="C580" s="35">
        <f t="shared" si="20"/>
        <v>42481</v>
      </c>
      <c r="D580" s="212" t="s">
        <v>1029</v>
      </c>
      <c r="E580" s="35">
        <v>42481</v>
      </c>
      <c r="F580" s="144" t="s">
        <v>167</v>
      </c>
      <c r="G580" s="191" t="s">
        <v>110</v>
      </c>
      <c r="H580" s="198"/>
      <c r="I580" s="186"/>
      <c r="J580" s="186"/>
      <c r="K580" s="185"/>
      <c r="L580" s="186"/>
      <c r="M580" s="36">
        <v>1500000</v>
      </c>
      <c r="N580" s="37" t="s">
        <v>34</v>
      </c>
      <c r="O580" s="37"/>
      <c r="P580" s="47" t="str">
        <f>IF(AND('331-CT'!$F$5=TH!H580,OR(N580="331",O580="331")),"x","")</f>
        <v/>
      </c>
      <c r="Q580" s="47" t="str">
        <f>IF(AND(B580='111'!$L$11,OR($N580=$Q$7,$O580=$Q$7)),"x","")</f>
        <v/>
      </c>
      <c r="R580" s="47" t="str">
        <f>IF(AND($N580=$Q$7,$B580&lt;'111'!$L$11),"x","")</f>
        <v>x</v>
      </c>
      <c r="S580" s="47" t="str">
        <f>IF(AND($O580=$Q$7,$B580&lt;'111'!$L$11),"x","")</f>
        <v/>
      </c>
    </row>
    <row r="581" spans="1:19" ht="15.75" customHeight="1">
      <c r="A581" s="152" t="str">
        <f>IF(B581&lt;&gt;"",IF(AND(B581='IN-TC'!$S$4,OR(TH!N581="1111",TH!O581="1111")),TH!D581,""),"")</f>
        <v/>
      </c>
      <c r="B581" s="34">
        <f t="shared" si="19"/>
        <v>4</v>
      </c>
      <c r="C581" s="35">
        <f t="shared" si="20"/>
        <v>42481</v>
      </c>
      <c r="D581" s="212" t="s">
        <v>947</v>
      </c>
      <c r="E581" s="35">
        <v>42481</v>
      </c>
      <c r="F581" s="144" t="s">
        <v>512</v>
      </c>
      <c r="G581" s="191" t="s">
        <v>104</v>
      </c>
      <c r="H581" s="198"/>
      <c r="I581" s="186"/>
      <c r="J581" s="186"/>
      <c r="K581" s="185"/>
      <c r="L581" s="186"/>
      <c r="M581" s="36">
        <v>190000000</v>
      </c>
      <c r="N581" s="37"/>
      <c r="O581" s="37" t="s">
        <v>34</v>
      </c>
      <c r="P581" s="47" t="str">
        <f>IF(AND('331-CT'!$F$5=TH!H581,OR(N581="331",O581="331")),"x","")</f>
        <v/>
      </c>
      <c r="Q581" s="47" t="str">
        <f>IF(AND(B581='111'!$L$11,OR($N581=$Q$7,$O581=$Q$7)),"x","")</f>
        <v/>
      </c>
      <c r="R581" s="47" t="str">
        <f>IF(AND($N581=$Q$7,$B581&lt;'111'!$L$11),"x","")</f>
        <v/>
      </c>
      <c r="S581" s="47" t="str">
        <f>IF(AND($O581=$Q$7,$B581&lt;'111'!$L$11),"x","")</f>
        <v>x</v>
      </c>
    </row>
    <row r="582" spans="1:19" ht="15.75" customHeight="1">
      <c r="A582" s="152" t="str">
        <f>IF(B582&lt;&gt;"",IF(AND(B582='IN-TC'!$S$4,OR(TH!N582="1111",TH!O582="1111")),TH!D582,""),"")</f>
        <v/>
      </c>
      <c r="B582" s="34">
        <f t="shared" si="19"/>
        <v>4</v>
      </c>
      <c r="C582" s="35">
        <f t="shared" si="20"/>
        <v>42481</v>
      </c>
      <c r="D582" s="212" t="s">
        <v>948</v>
      </c>
      <c r="E582" s="35">
        <v>42481</v>
      </c>
      <c r="F582" s="144" t="s">
        <v>579</v>
      </c>
      <c r="G582" s="191" t="s">
        <v>105</v>
      </c>
      <c r="H582" s="198" t="s">
        <v>813</v>
      </c>
      <c r="I582" s="186"/>
      <c r="J582" s="186"/>
      <c r="K582" s="185"/>
      <c r="L582" s="186"/>
      <c r="M582" s="36">
        <v>252500000</v>
      </c>
      <c r="N582" s="37" t="s">
        <v>812</v>
      </c>
      <c r="O582" s="37" t="s">
        <v>34</v>
      </c>
      <c r="P582" s="47" t="str">
        <f>IF(AND('331-CT'!$F$5=TH!H582,OR(N582="331",O582="331")),"x","")</f>
        <v/>
      </c>
      <c r="Q582" s="47" t="str">
        <f>IF(AND(B582='111'!$L$11,OR($N582=$Q$7,$O582=$Q$7)),"x","")</f>
        <v/>
      </c>
      <c r="R582" s="47" t="str">
        <f>IF(AND($N582=$Q$7,$B582&lt;'111'!$L$11),"x","")</f>
        <v/>
      </c>
      <c r="S582" s="47" t="str">
        <f>IF(AND($O582=$Q$7,$B582&lt;'111'!$L$11),"x","")</f>
        <v>x</v>
      </c>
    </row>
    <row r="583" spans="1:19" ht="15.75" customHeight="1">
      <c r="A583" s="152" t="str">
        <f>IF(B583&lt;&gt;"",IF(AND(B583='IN-TC'!$S$4,OR(TH!N583="1111",TH!O583="1111")),TH!D583,""),"")</f>
        <v/>
      </c>
      <c r="B583" s="34">
        <f t="shared" si="19"/>
        <v>4</v>
      </c>
      <c r="C583" s="35">
        <f t="shared" si="20"/>
        <v>42481</v>
      </c>
      <c r="D583" s="212" t="s">
        <v>949</v>
      </c>
      <c r="E583" s="35">
        <v>42481</v>
      </c>
      <c r="F583" s="144" t="s">
        <v>580</v>
      </c>
      <c r="G583" s="191"/>
      <c r="H583" s="198"/>
      <c r="I583" s="186"/>
      <c r="J583" s="186"/>
      <c r="K583" s="185"/>
      <c r="L583" s="186"/>
      <c r="M583" s="36">
        <v>40000000</v>
      </c>
      <c r="N583" s="37"/>
      <c r="O583" s="37" t="s">
        <v>34</v>
      </c>
      <c r="P583" s="47" t="str">
        <f>IF(AND('331-CT'!$F$5=TH!H583,OR(N583="331",O583="331")),"x","")</f>
        <v/>
      </c>
      <c r="Q583" s="47" t="str">
        <f>IF(AND(B583='111'!$L$11,OR($N583=$Q$7,$O583=$Q$7)),"x","")</f>
        <v/>
      </c>
      <c r="R583" s="47" t="str">
        <f>IF(AND($N583=$Q$7,$B583&lt;'111'!$L$11),"x","")</f>
        <v/>
      </c>
      <c r="S583" s="47" t="str">
        <f>IF(AND($O583=$Q$7,$B583&lt;'111'!$L$11),"x","")</f>
        <v>x</v>
      </c>
    </row>
    <row r="584" spans="1:19" ht="15.75" customHeight="1">
      <c r="A584" s="152" t="str">
        <f>IF(B584&lt;&gt;"",IF(AND(B584='IN-TC'!$S$4,OR(TH!N584="1111",TH!O584="1111")),TH!D584,""),"")</f>
        <v/>
      </c>
      <c r="B584" s="34">
        <f t="shared" si="19"/>
        <v>4</v>
      </c>
      <c r="C584" s="35">
        <f t="shared" si="20"/>
        <v>42481</v>
      </c>
      <c r="D584" s="212" t="s">
        <v>950</v>
      </c>
      <c r="E584" s="35">
        <v>42481</v>
      </c>
      <c r="F584" s="144" t="s">
        <v>581</v>
      </c>
      <c r="G584" s="191" t="s">
        <v>208</v>
      </c>
      <c r="H584" s="198"/>
      <c r="I584" s="186"/>
      <c r="J584" s="186"/>
      <c r="K584" s="185"/>
      <c r="L584" s="186"/>
      <c r="M584" s="36">
        <v>5552000</v>
      </c>
      <c r="N584" s="37"/>
      <c r="O584" s="37" t="s">
        <v>34</v>
      </c>
      <c r="P584" s="47" t="str">
        <f>IF(AND('331-CT'!$F$5=TH!H584,OR(N584="331",O584="331")),"x","")</f>
        <v/>
      </c>
      <c r="Q584" s="47" t="str">
        <f>IF(AND(B584='111'!$L$11,OR($N584=$Q$7,$O584=$Q$7)),"x","")</f>
        <v/>
      </c>
      <c r="R584" s="47" t="str">
        <f>IF(AND($N584=$Q$7,$B584&lt;'111'!$L$11),"x","")</f>
        <v/>
      </c>
      <c r="S584" s="47" t="str">
        <f>IF(AND($O584=$Q$7,$B584&lt;'111'!$L$11),"x","")</f>
        <v>x</v>
      </c>
    </row>
    <row r="585" spans="1:19" ht="15.75" customHeight="1">
      <c r="A585" s="152" t="str">
        <f>IF(B585&lt;&gt;"",IF(AND(B585='IN-TC'!$S$4,OR(TH!N585="1111",TH!O585="1111")),TH!D585,""),"")</f>
        <v/>
      </c>
      <c r="B585" s="34">
        <f t="shared" si="19"/>
        <v>4</v>
      </c>
      <c r="C585" s="35">
        <f t="shared" si="20"/>
        <v>42481</v>
      </c>
      <c r="D585" s="212" t="s">
        <v>951</v>
      </c>
      <c r="E585" s="35">
        <v>42481</v>
      </c>
      <c r="F585" s="144" t="s">
        <v>280</v>
      </c>
      <c r="G585" s="191" t="s">
        <v>221</v>
      </c>
      <c r="H585" s="198"/>
      <c r="I585" s="186"/>
      <c r="J585" s="186"/>
      <c r="K585" s="185"/>
      <c r="L585" s="186"/>
      <c r="M585" s="36">
        <v>7920000</v>
      </c>
      <c r="N585" s="37"/>
      <c r="O585" s="37" t="s">
        <v>34</v>
      </c>
      <c r="P585" s="47" t="str">
        <f>IF(AND('331-CT'!$F$5=TH!H585,OR(N585="331",O585="331")),"x","")</f>
        <v/>
      </c>
      <c r="Q585" s="47" t="str">
        <f>IF(AND(B585='111'!$L$11,OR($N585=$Q$7,$O585=$Q$7)),"x","")</f>
        <v/>
      </c>
      <c r="R585" s="47" t="str">
        <f>IF(AND($N585=$Q$7,$B585&lt;'111'!$L$11),"x","")</f>
        <v/>
      </c>
      <c r="S585" s="47" t="str">
        <f>IF(AND($O585=$Q$7,$B585&lt;'111'!$L$11),"x","")</f>
        <v>x</v>
      </c>
    </row>
    <row r="586" spans="1:19" ht="15.75" customHeight="1">
      <c r="A586" s="152" t="str">
        <f>IF(B586&lt;&gt;"",IF(AND(B586='IN-TC'!$S$4,OR(TH!N586="1111",TH!O586="1111")),TH!D586,""),"")</f>
        <v/>
      </c>
      <c r="B586" s="34">
        <f t="shared" si="19"/>
        <v>4</v>
      </c>
      <c r="C586" s="35">
        <f t="shared" si="20"/>
        <v>42481</v>
      </c>
      <c r="D586" s="212" t="s">
        <v>952</v>
      </c>
      <c r="E586" s="35">
        <v>42481</v>
      </c>
      <c r="F586" s="144" t="s">
        <v>582</v>
      </c>
      <c r="G586" s="191" t="s">
        <v>110</v>
      </c>
      <c r="H586" s="198"/>
      <c r="I586" s="186"/>
      <c r="J586" s="186"/>
      <c r="K586" s="185"/>
      <c r="L586" s="186"/>
      <c r="M586" s="36">
        <v>1500000</v>
      </c>
      <c r="N586" s="37"/>
      <c r="O586" s="37" t="s">
        <v>34</v>
      </c>
      <c r="P586" s="47" t="str">
        <f>IF(AND('331-CT'!$F$5=TH!H586,OR(N586="331",O586="331")),"x","")</f>
        <v/>
      </c>
      <c r="Q586" s="47" t="str">
        <f>IF(AND(B586='111'!$L$11,OR($N586=$Q$7,$O586=$Q$7)),"x","")</f>
        <v/>
      </c>
      <c r="R586" s="47" t="str">
        <f>IF(AND($N586=$Q$7,$B586&lt;'111'!$L$11),"x","")</f>
        <v/>
      </c>
      <c r="S586" s="47" t="str">
        <f>IF(AND($O586=$Q$7,$B586&lt;'111'!$L$11),"x","")</f>
        <v>x</v>
      </c>
    </row>
    <row r="587" spans="1:19" ht="15.75" customHeight="1">
      <c r="A587" s="152" t="str">
        <f>IF(B587&lt;&gt;"",IF(AND(B587='IN-TC'!$S$4,OR(TH!N587="1111",TH!O587="1111")),TH!D587,""),"")</f>
        <v/>
      </c>
      <c r="B587" s="34">
        <f t="shared" si="19"/>
        <v>4</v>
      </c>
      <c r="C587" s="35">
        <f t="shared" si="20"/>
        <v>42481</v>
      </c>
      <c r="D587" s="212" t="s">
        <v>953</v>
      </c>
      <c r="E587" s="35">
        <v>42481</v>
      </c>
      <c r="F587" s="144" t="s">
        <v>583</v>
      </c>
      <c r="G587" s="191" t="s">
        <v>202</v>
      </c>
      <c r="H587" s="198"/>
      <c r="I587" s="186"/>
      <c r="J587" s="186"/>
      <c r="K587" s="185"/>
      <c r="L587" s="186"/>
      <c r="M587" s="36">
        <v>208000</v>
      </c>
      <c r="N587" s="37"/>
      <c r="O587" s="37" t="s">
        <v>34</v>
      </c>
      <c r="P587" s="47" t="str">
        <f>IF(AND('331-CT'!$F$5=TH!H587,OR(N587="331",O587="331")),"x","")</f>
        <v/>
      </c>
      <c r="Q587" s="47" t="str">
        <f>IF(AND(B587='111'!$L$11,OR($N587=$Q$7,$O587=$Q$7)),"x","")</f>
        <v/>
      </c>
      <c r="R587" s="47" t="str">
        <f>IF(AND($N587=$Q$7,$B587&lt;'111'!$L$11),"x","")</f>
        <v/>
      </c>
      <c r="S587" s="47" t="str">
        <f>IF(AND($O587=$Q$7,$B587&lt;'111'!$L$11),"x","")</f>
        <v>x</v>
      </c>
    </row>
    <row r="588" spans="1:19" ht="15.75" customHeight="1">
      <c r="A588" s="152" t="str">
        <f>IF(B588&lt;&gt;"",IF(AND(B588='IN-TC'!$S$4,OR(TH!N588="1111",TH!O588="1111")),TH!D588,""),"")</f>
        <v/>
      </c>
      <c r="B588" s="34">
        <f t="shared" si="19"/>
        <v>4</v>
      </c>
      <c r="C588" s="35">
        <f t="shared" si="20"/>
        <v>42481</v>
      </c>
      <c r="D588" s="212" t="s">
        <v>954</v>
      </c>
      <c r="E588" s="35">
        <v>42481</v>
      </c>
      <c r="F588" s="144" t="s">
        <v>584</v>
      </c>
      <c r="G588" s="191" t="s">
        <v>111</v>
      </c>
      <c r="H588" s="198"/>
      <c r="I588" s="186"/>
      <c r="J588" s="186"/>
      <c r="K588" s="185"/>
      <c r="L588" s="186"/>
      <c r="M588" s="36">
        <v>320000</v>
      </c>
      <c r="N588" s="37"/>
      <c r="O588" s="37" t="s">
        <v>34</v>
      </c>
      <c r="P588" s="47" t="str">
        <f>IF(AND('331-CT'!$F$5=TH!H588,OR(N588="331",O588="331")),"x","")</f>
        <v/>
      </c>
      <c r="Q588" s="47" t="str">
        <f>IF(AND(B588='111'!$L$11,OR($N588=$Q$7,$O588=$Q$7)),"x","")</f>
        <v/>
      </c>
      <c r="R588" s="47" t="str">
        <f>IF(AND($N588=$Q$7,$B588&lt;'111'!$L$11),"x","")</f>
        <v/>
      </c>
      <c r="S588" s="47" t="str">
        <f>IF(AND($O588=$Q$7,$B588&lt;'111'!$L$11),"x","")</f>
        <v>x</v>
      </c>
    </row>
    <row r="589" spans="1:19" ht="15.75" customHeight="1">
      <c r="A589" s="152" t="str">
        <f>IF(B589&lt;&gt;"",IF(AND(B589='IN-TC'!$S$4,OR(TH!N589="1111",TH!O589="1111")),TH!D589,""),"")</f>
        <v/>
      </c>
      <c r="B589" s="34">
        <f t="shared" ref="B589:B652" si="21">IF(C589&lt;&gt;"",MONTH(C589),"")</f>
        <v>4</v>
      </c>
      <c r="C589" s="35">
        <f t="shared" ref="C589:C652" si="22">E589</f>
        <v>42481</v>
      </c>
      <c r="D589" s="212" t="s">
        <v>955</v>
      </c>
      <c r="E589" s="35">
        <v>42481</v>
      </c>
      <c r="F589" s="144" t="s">
        <v>585</v>
      </c>
      <c r="G589" s="191" t="s">
        <v>216</v>
      </c>
      <c r="H589" s="198"/>
      <c r="I589" s="186"/>
      <c r="J589" s="186"/>
      <c r="K589" s="185"/>
      <c r="L589" s="186"/>
      <c r="M589" s="36">
        <v>500000</v>
      </c>
      <c r="N589" s="37"/>
      <c r="O589" s="37" t="s">
        <v>34</v>
      </c>
      <c r="P589" s="47" t="str">
        <f>IF(AND('331-CT'!$F$5=TH!H589,OR(N589="331",O589="331")),"x","")</f>
        <v/>
      </c>
      <c r="Q589" s="47" t="str">
        <f>IF(AND(B589='111'!$L$11,OR($N589=$Q$7,$O589=$Q$7)),"x","")</f>
        <v/>
      </c>
      <c r="R589" s="47" t="str">
        <f>IF(AND($N589=$Q$7,$B589&lt;'111'!$L$11),"x","")</f>
        <v/>
      </c>
      <c r="S589" s="47" t="str">
        <f>IF(AND($O589=$Q$7,$B589&lt;'111'!$L$11),"x","")</f>
        <v>x</v>
      </c>
    </row>
    <row r="590" spans="1:19" ht="15.75" customHeight="1">
      <c r="A590" s="152" t="str">
        <f>IF(B590&lt;&gt;"",IF(AND(B590='IN-TC'!$S$4,OR(TH!N590="1111",TH!O590="1111")),TH!D590,""),"")</f>
        <v/>
      </c>
      <c r="B590" s="34">
        <f t="shared" si="21"/>
        <v>4</v>
      </c>
      <c r="C590" s="35">
        <f t="shared" si="22"/>
        <v>42481</v>
      </c>
      <c r="D590" s="212" t="s">
        <v>956</v>
      </c>
      <c r="E590" s="35">
        <v>42481</v>
      </c>
      <c r="F590" s="144" t="s">
        <v>586</v>
      </c>
      <c r="G590" s="191" t="s">
        <v>221</v>
      </c>
      <c r="H590" s="198"/>
      <c r="I590" s="186"/>
      <c r="J590" s="186"/>
      <c r="K590" s="185"/>
      <c r="L590" s="186"/>
      <c r="M590" s="36">
        <v>1150000</v>
      </c>
      <c r="N590" s="37"/>
      <c r="O590" s="37" t="s">
        <v>34</v>
      </c>
      <c r="P590" s="47" t="str">
        <f>IF(AND('331-CT'!$F$5=TH!H590,OR(N590="331",O590="331")),"x","")</f>
        <v/>
      </c>
      <c r="Q590" s="47" t="str">
        <f>IF(AND(B590='111'!$L$11,OR($N590=$Q$7,$O590=$Q$7)),"x","")</f>
        <v/>
      </c>
      <c r="R590" s="47" t="str">
        <f>IF(AND($N590=$Q$7,$B590&lt;'111'!$L$11),"x","")</f>
        <v/>
      </c>
      <c r="S590" s="47" t="str">
        <f>IF(AND($O590=$Q$7,$B590&lt;'111'!$L$11),"x","")</f>
        <v>x</v>
      </c>
    </row>
    <row r="591" spans="1:19" ht="15.75" customHeight="1">
      <c r="A591" s="152" t="str">
        <f>IF(B591&lt;&gt;"",IF(AND(B591='IN-TC'!$S$4,OR(TH!N591="1111",TH!O591="1111")),TH!D591,""),"")</f>
        <v/>
      </c>
      <c r="B591" s="34">
        <f t="shared" si="21"/>
        <v>4</v>
      </c>
      <c r="C591" s="35">
        <f t="shared" si="22"/>
        <v>42481</v>
      </c>
      <c r="D591" s="212" t="s">
        <v>957</v>
      </c>
      <c r="E591" s="35">
        <v>42481</v>
      </c>
      <c r="F591" s="144" t="s">
        <v>587</v>
      </c>
      <c r="G591" s="191" t="s">
        <v>202</v>
      </c>
      <c r="H591" s="198"/>
      <c r="I591" s="186"/>
      <c r="J591" s="186"/>
      <c r="K591" s="185"/>
      <c r="L591" s="186"/>
      <c r="M591" s="36">
        <v>1875000</v>
      </c>
      <c r="N591" s="37"/>
      <c r="O591" s="37" t="s">
        <v>34</v>
      </c>
      <c r="P591" s="47" t="str">
        <f>IF(AND('331-CT'!$F$5=TH!H591,OR(N591="331",O591="331")),"x","")</f>
        <v/>
      </c>
      <c r="Q591" s="47" t="str">
        <f>IF(AND(B591='111'!$L$11,OR($N591=$Q$7,$O591=$Q$7)),"x","")</f>
        <v/>
      </c>
      <c r="R591" s="47" t="str">
        <f>IF(AND($N591=$Q$7,$B591&lt;'111'!$L$11),"x","")</f>
        <v/>
      </c>
      <c r="S591" s="47" t="str">
        <f>IF(AND($O591=$Q$7,$B591&lt;'111'!$L$11),"x","")</f>
        <v>x</v>
      </c>
    </row>
    <row r="592" spans="1:19" ht="15.75" customHeight="1">
      <c r="A592" s="152" t="str">
        <f>IF(B592&lt;&gt;"",IF(AND(B592='IN-TC'!$S$4,OR(TH!N592="1111",TH!O592="1111")),TH!D592,""),"")</f>
        <v/>
      </c>
      <c r="B592" s="34">
        <f t="shared" si="21"/>
        <v>4</v>
      </c>
      <c r="C592" s="35">
        <f t="shared" si="22"/>
        <v>42481</v>
      </c>
      <c r="D592" s="212"/>
      <c r="E592" s="35">
        <v>42481</v>
      </c>
      <c r="F592" s="144" t="s">
        <v>1502</v>
      </c>
      <c r="G592" s="191" t="s">
        <v>1454</v>
      </c>
      <c r="H592" s="198" t="s">
        <v>846</v>
      </c>
      <c r="I592" s="186">
        <v>370</v>
      </c>
      <c r="J592" s="186">
        <v>52000</v>
      </c>
      <c r="K592" s="185"/>
      <c r="L592" s="186"/>
      <c r="M592" s="36">
        <f>ROUND(I592*J592,-3)</f>
        <v>19240000</v>
      </c>
      <c r="N592" s="37" t="s">
        <v>1443</v>
      </c>
      <c r="O592" s="37" t="s">
        <v>8</v>
      </c>
      <c r="P592" s="47" t="str">
        <f>IF(AND('331-CT'!$F$5=TH!H592,OR(N592="331",O592="331")),"x","")</f>
        <v/>
      </c>
      <c r="Q592" s="47" t="str">
        <f>IF(AND(B592='111'!$L$11,OR($N592=$Q$7,$O592=$Q$7)),"x","")</f>
        <v/>
      </c>
      <c r="R592" s="47" t="str">
        <f>IF(AND($N592=$Q$7,$B592&lt;'111'!$L$11),"x","")</f>
        <v/>
      </c>
      <c r="S592" s="47" t="str">
        <f>IF(AND($O592=$Q$7,$B592&lt;'111'!$L$11),"x","")</f>
        <v/>
      </c>
    </row>
    <row r="593" spans="1:19" ht="15.75" customHeight="1">
      <c r="A593" s="152" t="str">
        <f>IF(B593&lt;&gt;"",IF(AND(B593='IN-TC'!$S$4,OR(TH!N593="1111",TH!O593="1111")),TH!D593,""),"")</f>
        <v/>
      </c>
      <c r="B593" s="34">
        <f t="shared" si="21"/>
        <v>4</v>
      </c>
      <c r="C593" s="35">
        <f t="shared" si="22"/>
        <v>42481</v>
      </c>
      <c r="D593" s="212"/>
      <c r="E593" s="35">
        <v>42481</v>
      </c>
      <c r="F593" s="144" t="s">
        <v>1506</v>
      </c>
      <c r="G593" s="191" t="s">
        <v>1454</v>
      </c>
      <c r="H593" s="198" t="s">
        <v>846</v>
      </c>
      <c r="I593" s="186">
        <v>183</v>
      </c>
      <c r="J593" s="186">
        <v>52000</v>
      </c>
      <c r="K593" s="185"/>
      <c r="L593" s="186"/>
      <c r="M593" s="36">
        <f>ROUND(I593*J593,-3)</f>
        <v>9516000</v>
      </c>
      <c r="N593" s="37" t="s">
        <v>1443</v>
      </c>
      <c r="O593" s="37" t="s">
        <v>8</v>
      </c>
      <c r="P593" s="47" t="str">
        <f>IF(AND('331-CT'!$F$5=TH!H593,OR(N593="331",O593="331")),"x","")</f>
        <v/>
      </c>
      <c r="Q593" s="47" t="str">
        <f>IF(AND(B593='111'!$L$11,OR($N593=$Q$7,$O593=$Q$7)),"x","")</f>
        <v/>
      </c>
      <c r="R593" s="47" t="str">
        <f>IF(AND($N593=$Q$7,$B593&lt;'111'!$L$11),"x","")</f>
        <v/>
      </c>
      <c r="S593" s="47" t="str">
        <f>IF(AND($O593=$Q$7,$B593&lt;'111'!$L$11),"x","")</f>
        <v/>
      </c>
    </row>
    <row r="594" spans="1:19" ht="15.75" customHeight="1">
      <c r="A594" s="152" t="str">
        <f>IF(B594&lt;&gt;"",IF(AND(B594='IN-TC'!$S$4,OR(TH!N594="1111",TH!O594="1111")),TH!D594,""),"")</f>
        <v/>
      </c>
      <c r="B594" s="34">
        <f t="shared" si="21"/>
        <v>4</v>
      </c>
      <c r="C594" s="35">
        <f t="shared" si="22"/>
        <v>42482</v>
      </c>
      <c r="D594" s="212"/>
      <c r="E594" s="35">
        <v>42482</v>
      </c>
      <c r="F594" s="144" t="s">
        <v>1461</v>
      </c>
      <c r="G594" s="191"/>
      <c r="H594" s="198" t="s">
        <v>815</v>
      </c>
      <c r="I594" s="186">
        <v>3400</v>
      </c>
      <c r="J594" s="186">
        <v>36000</v>
      </c>
      <c r="K594" s="185"/>
      <c r="L594" s="186"/>
      <c r="M594" s="36">
        <f>ROUND(I594*J594,0)</f>
        <v>122400000</v>
      </c>
      <c r="N594" s="37" t="s">
        <v>1443</v>
      </c>
      <c r="O594" s="37" t="s">
        <v>8</v>
      </c>
      <c r="P594" s="47" t="str">
        <f>IF(AND('331-CT'!$F$5=TH!H594,OR(N594="331",O594="331")),"x","")</f>
        <v/>
      </c>
      <c r="Q594" s="47" t="str">
        <f>IF(AND(B594='111'!$L$11,OR($N594=$Q$7,$O594=$Q$7)),"x","")</f>
        <v/>
      </c>
      <c r="R594" s="47" t="str">
        <f>IF(AND($N594=$Q$7,$B594&lt;'111'!$L$11),"x","")</f>
        <v/>
      </c>
      <c r="S594" s="47" t="str">
        <f>IF(AND($O594=$Q$7,$B594&lt;'111'!$L$11),"x","")</f>
        <v/>
      </c>
    </row>
    <row r="595" spans="1:19" ht="15.75" customHeight="1">
      <c r="A595" s="152" t="str">
        <f>IF(B595&lt;&gt;"",IF(AND(B595='IN-TC'!$S$4,OR(TH!N595="1111",TH!O595="1111")),TH!D595,""),"")</f>
        <v/>
      </c>
      <c r="B595" s="34">
        <f t="shared" si="21"/>
        <v>4</v>
      </c>
      <c r="C595" s="35">
        <f t="shared" si="22"/>
        <v>42483</v>
      </c>
      <c r="D595" s="212"/>
      <c r="E595" s="35">
        <v>42483</v>
      </c>
      <c r="F595" s="144" t="s">
        <v>1467</v>
      </c>
      <c r="G595" s="191"/>
      <c r="H595" s="198" t="s">
        <v>831</v>
      </c>
      <c r="I595" s="186">
        <v>292</v>
      </c>
      <c r="J595" s="186">
        <v>15000</v>
      </c>
      <c r="K595" s="185"/>
      <c r="L595" s="186"/>
      <c r="M595" s="36">
        <f>ROUND(I595*J595,0)</f>
        <v>4380000</v>
      </c>
      <c r="N595" s="37" t="s">
        <v>1443</v>
      </c>
      <c r="O595" s="37" t="s">
        <v>8</v>
      </c>
      <c r="P595" s="47" t="str">
        <f>IF(AND('331-CT'!$F$5=TH!H595,OR(N595="331",O595="331")),"x","")</f>
        <v/>
      </c>
      <c r="Q595" s="47" t="str">
        <f>IF(AND(B595='111'!$L$11,OR($N595=$Q$7,$O595=$Q$7)),"x","")</f>
        <v/>
      </c>
      <c r="R595" s="47" t="str">
        <f>IF(AND($N595=$Q$7,$B595&lt;'111'!$L$11),"x","")</f>
        <v/>
      </c>
      <c r="S595" s="47" t="str">
        <f>IF(AND($O595=$Q$7,$B595&lt;'111'!$L$11),"x","")</f>
        <v/>
      </c>
    </row>
    <row r="596" spans="1:19" ht="15.75" customHeight="1">
      <c r="A596" s="152" t="str">
        <f>IF(B596&lt;&gt;"",IF(AND(B596='IN-TC'!$S$4,OR(TH!N596="1111",TH!O596="1111")),TH!D596,""),"")</f>
        <v/>
      </c>
      <c r="B596" s="34">
        <f t="shared" si="21"/>
        <v>4</v>
      </c>
      <c r="C596" s="35">
        <f t="shared" si="22"/>
        <v>42485</v>
      </c>
      <c r="D596" s="212" t="s">
        <v>1030</v>
      </c>
      <c r="E596" s="35">
        <v>42485</v>
      </c>
      <c r="F596" s="144" t="s">
        <v>166</v>
      </c>
      <c r="G596" s="191" t="s">
        <v>105</v>
      </c>
      <c r="H596" s="198" t="s">
        <v>1409</v>
      </c>
      <c r="I596" s="186"/>
      <c r="J596" s="186"/>
      <c r="K596" s="185"/>
      <c r="L596" s="186"/>
      <c r="M596" s="36">
        <v>100000000</v>
      </c>
      <c r="N596" s="37" t="s">
        <v>34</v>
      </c>
      <c r="O596" s="37" t="s">
        <v>812</v>
      </c>
      <c r="P596" s="47" t="str">
        <f>IF(AND('331-CT'!$F$5=TH!H596,OR(N596="331",O596="331")),"x","")</f>
        <v/>
      </c>
      <c r="Q596" s="47" t="str">
        <f>IF(AND(B596='111'!$L$11,OR($N596=$Q$7,$O596=$Q$7)),"x","")</f>
        <v/>
      </c>
      <c r="R596" s="47" t="str">
        <f>IF(AND($N596=$Q$7,$B596&lt;'111'!$L$11),"x","")</f>
        <v>x</v>
      </c>
      <c r="S596" s="47" t="str">
        <f>IF(AND($O596=$Q$7,$B596&lt;'111'!$L$11),"x","")</f>
        <v/>
      </c>
    </row>
    <row r="597" spans="1:19" ht="15.75" customHeight="1">
      <c r="A597" s="152" t="str">
        <f>IF(B597&lt;&gt;"",IF(AND(B597='IN-TC'!$S$4,OR(TH!N597="1111",TH!O597="1111")),TH!D597,""),"")</f>
        <v/>
      </c>
      <c r="B597" s="34">
        <f t="shared" si="21"/>
        <v>4</v>
      </c>
      <c r="C597" s="35">
        <f t="shared" si="22"/>
        <v>42485</v>
      </c>
      <c r="D597" s="212" t="s">
        <v>1031</v>
      </c>
      <c r="E597" s="35">
        <v>42485</v>
      </c>
      <c r="F597" s="144" t="s">
        <v>168</v>
      </c>
      <c r="G597" s="191" t="s">
        <v>108</v>
      </c>
      <c r="H597" s="198"/>
      <c r="I597" s="186"/>
      <c r="J597" s="186"/>
      <c r="K597" s="185"/>
      <c r="L597" s="186"/>
      <c r="M597" s="36">
        <v>305000000</v>
      </c>
      <c r="N597" s="37" t="s">
        <v>34</v>
      </c>
      <c r="O597" s="37"/>
      <c r="P597" s="47" t="str">
        <f>IF(AND('331-CT'!$F$5=TH!H597,OR(N597="331",O597="331")),"x","")</f>
        <v/>
      </c>
      <c r="Q597" s="47" t="str">
        <f>IF(AND(B597='111'!$L$11,OR($N597=$Q$7,$O597=$Q$7)),"x","")</f>
        <v/>
      </c>
      <c r="R597" s="47" t="str">
        <f>IF(AND($N597=$Q$7,$B597&lt;'111'!$L$11),"x","")</f>
        <v>x</v>
      </c>
      <c r="S597" s="47" t="str">
        <f>IF(AND($O597=$Q$7,$B597&lt;'111'!$L$11),"x","")</f>
        <v/>
      </c>
    </row>
    <row r="598" spans="1:19" ht="15.75" customHeight="1">
      <c r="A598" s="152" t="str">
        <f>IF(B598&lt;&gt;"",IF(AND(B598='IN-TC'!$S$4,OR(TH!N598="1111",TH!O598="1111")),TH!D598,""),"")</f>
        <v/>
      </c>
      <c r="B598" s="34">
        <f t="shared" si="21"/>
        <v>4</v>
      </c>
      <c r="C598" s="35">
        <f t="shared" si="22"/>
        <v>42485</v>
      </c>
      <c r="D598" s="212" t="s">
        <v>958</v>
      </c>
      <c r="E598" s="35">
        <v>42485</v>
      </c>
      <c r="F598" s="144" t="s">
        <v>588</v>
      </c>
      <c r="G598" s="191" t="s">
        <v>204</v>
      </c>
      <c r="H598" s="198"/>
      <c r="I598" s="186"/>
      <c r="J598" s="186"/>
      <c r="K598" s="185"/>
      <c r="L598" s="186"/>
      <c r="M598" s="36">
        <v>100000000</v>
      </c>
      <c r="N598" s="37"/>
      <c r="O598" s="37" t="s">
        <v>34</v>
      </c>
      <c r="P598" s="47" t="str">
        <f>IF(AND('331-CT'!$F$5=TH!H598,OR(N598="331",O598="331")),"x","")</f>
        <v/>
      </c>
      <c r="Q598" s="47" t="str">
        <f>IF(AND(B598='111'!$L$11,OR($N598=$Q$7,$O598=$Q$7)),"x","")</f>
        <v/>
      </c>
      <c r="R598" s="47" t="str">
        <f>IF(AND($N598=$Q$7,$B598&lt;'111'!$L$11),"x","")</f>
        <v/>
      </c>
      <c r="S598" s="47" t="str">
        <f>IF(AND($O598=$Q$7,$B598&lt;'111'!$L$11),"x","")</f>
        <v>x</v>
      </c>
    </row>
    <row r="599" spans="1:19" ht="15.75" customHeight="1">
      <c r="A599" s="152" t="str">
        <f>IF(B599&lt;&gt;"",IF(AND(B599='IN-TC'!$S$4,OR(TH!N599="1111",TH!O599="1111")),TH!D599,""),"")</f>
        <v/>
      </c>
      <c r="B599" s="34">
        <f t="shared" si="21"/>
        <v>4</v>
      </c>
      <c r="C599" s="35">
        <f t="shared" si="22"/>
        <v>42485</v>
      </c>
      <c r="D599" s="212" t="s">
        <v>959</v>
      </c>
      <c r="E599" s="35">
        <v>42485</v>
      </c>
      <c r="F599" s="144" t="s">
        <v>589</v>
      </c>
      <c r="G599" s="191" t="s">
        <v>104</v>
      </c>
      <c r="H599" s="198"/>
      <c r="I599" s="186"/>
      <c r="J599" s="186"/>
      <c r="K599" s="185"/>
      <c r="L599" s="186"/>
      <c r="M599" s="36">
        <v>80000000</v>
      </c>
      <c r="N599" s="37"/>
      <c r="O599" s="37" t="s">
        <v>34</v>
      </c>
      <c r="P599" s="47" t="str">
        <f>IF(AND('331-CT'!$F$5=TH!H599,OR(N599="331",O599="331")),"x","")</f>
        <v/>
      </c>
      <c r="Q599" s="47" t="str">
        <f>IF(AND(B599='111'!$L$11,OR($N599=$Q$7,$O599=$Q$7)),"x","")</f>
        <v/>
      </c>
      <c r="R599" s="47" t="str">
        <f>IF(AND($N599=$Q$7,$B599&lt;'111'!$L$11),"x","")</f>
        <v/>
      </c>
      <c r="S599" s="47" t="str">
        <f>IF(AND($O599=$Q$7,$B599&lt;'111'!$L$11),"x","")</f>
        <v>x</v>
      </c>
    </row>
    <row r="600" spans="1:19" ht="15.75" customHeight="1">
      <c r="A600" s="152" t="str">
        <f>IF(B600&lt;&gt;"",IF(AND(B600='IN-TC'!$S$4,OR(TH!N600="1111",TH!O600="1111")),TH!D600,""),"")</f>
        <v/>
      </c>
      <c r="B600" s="34">
        <f t="shared" si="21"/>
        <v>4</v>
      </c>
      <c r="C600" s="35">
        <f t="shared" si="22"/>
        <v>42485</v>
      </c>
      <c r="D600" s="212" t="s">
        <v>960</v>
      </c>
      <c r="E600" s="35">
        <v>42485</v>
      </c>
      <c r="F600" s="144" t="s">
        <v>590</v>
      </c>
      <c r="G600" s="191" t="s">
        <v>210</v>
      </c>
      <c r="H600" s="198"/>
      <c r="I600" s="186"/>
      <c r="J600" s="186"/>
      <c r="K600" s="185"/>
      <c r="L600" s="186"/>
      <c r="M600" s="36">
        <v>16500000</v>
      </c>
      <c r="N600" s="37"/>
      <c r="O600" s="37" t="s">
        <v>34</v>
      </c>
      <c r="P600" s="47" t="str">
        <f>IF(AND('331-CT'!$F$5=TH!H600,OR(N600="331",O600="331")),"x","")</f>
        <v/>
      </c>
      <c r="Q600" s="47" t="str">
        <f>IF(AND(B600='111'!$L$11,OR($N600=$Q$7,$O600=$Q$7)),"x","")</f>
        <v/>
      </c>
      <c r="R600" s="47" t="str">
        <f>IF(AND($N600=$Q$7,$B600&lt;'111'!$L$11),"x","")</f>
        <v/>
      </c>
      <c r="S600" s="47" t="str">
        <f>IF(AND($O600=$Q$7,$B600&lt;'111'!$L$11),"x","")</f>
        <v>x</v>
      </c>
    </row>
    <row r="601" spans="1:19" ht="15.75" customHeight="1">
      <c r="A601" s="152" t="str">
        <f>IF(B601&lt;&gt;"",IF(AND(B601='IN-TC'!$S$4,OR(TH!N601="1111",TH!O601="1111")),TH!D601,""),"")</f>
        <v/>
      </c>
      <c r="B601" s="34">
        <f t="shared" si="21"/>
        <v>4</v>
      </c>
      <c r="C601" s="35">
        <f t="shared" si="22"/>
        <v>42485</v>
      </c>
      <c r="D601" s="212" t="s">
        <v>961</v>
      </c>
      <c r="E601" s="35">
        <v>42485</v>
      </c>
      <c r="F601" s="144" t="s">
        <v>591</v>
      </c>
      <c r="G601" s="191" t="s">
        <v>207</v>
      </c>
      <c r="H601" s="198"/>
      <c r="I601" s="186"/>
      <c r="J601" s="186"/>
      <c r="K601" s="185"/>
      <c r="L601" s="186"/>
      <c r="M601" s="36">
        <v>10000000</v>
      </c>
      <c r="N601" s="37"/>
      <c r="O601" s="37" t="s">
        <v>34</v>
      </c>
      <c r="P601" s="47" t="str">
        <f>IF(AND('331-CT'!$F$5=TH!H601,OR(N601="331",O601="331")),"x","")</f>
        <v/>
      </c>
      <c r="Q601" s="47" t="str">
        <f>IF(AND(B601='111'!$L$11,OR($N601=$Q$7,$O601=$Q$7)),"x","")</f>
        <v/>
      </c>
      <c r="R601" s="47" t="str">
        <f>IF(AND($N601=$Q$7,$B601&lt;'111'!$L$11),"x","")</f>
        <v/>
      </c>
      <c r="S601" s="47" t="str">
        <f>IF(AND($O601=$Q$7,$B601&lt;'111'!$L$11),"x","")</f>
        <v>x</v>
      </c>
    </row>
    <row r="602" spans="1:19" ht="15.75" customHeight="1">
      <c r="A602" s="152" t="str">
        <f>IF(B602&lt;&gt;"",IF(AND(B602='IN-TC'!$S$4,OR(TH!N602="1111",TH!O602="1111")),TH!D602,""),"")</f>
        <v/>
      </c>
      <c r="B602" s="34">
        <f t="shared" si="21"/>
        <v>4</v>
      </c>
      <c r="C602" s="35">
        <f t="shared" si="22"/>
        <v>42485</v>
      </c>
      <c r="D602" s="212" t="s">
        <v>962</v>
      </c>
      <c r="E602" s="35">
        <v>42485</v>
      </c>
      <c r="F602" s="144" t="s">
        <v>592</v>
      </c>
      <c r="G602" s="191" t="s">
        <v>109</v>
      </c>
      <c r="H602" s="198"/>
      <c r="I602" s="186"/>
      <c r="J602" s="186"/>
      <c r="K602" s="185"/>
      <c r="L602" s="186"/>
      <c r="M602" s="36">
        <v>18700000</v>
      </c>
      <c r="N602" s="37"/>
      <c r="O602" s="37" t="s">
        <v>34</v>
      </c>
      <c r="P602" s="47" t="str">
        <f>IF(AND('331-CT'!$F$5=TH!H602,OR(N602="331",O602="331")),"x","")</f>
        <v/>
      </c>
      <c r="Q602" s="47" t="str">
        <f>IF(AND(B602='111'!$L$11,OR($N602=$Q$7,$O602=$Q$7)),"x","")</f>
        <v/>
      </c>
      <c r="R602" s="47" t="str">
        <f>IF(AND($N602=$Q$7,$B602&lt;'111'!$L$11),"x","")</f>
        <v/>
      </c>
      <c r="S602" s="47" t="str">
        <f>IF(AND($O602=$Q$7,$B602&lt;'111'!$L$11),"x","")</f>
        <v>x</v>
      </c>
    </row>
    <row r="603" spans="1:19" ht="15.75" customHeight="1">
      <c r="A603" s="152" t="str">
        <f>IF(B603&lt;&gt;"",IF(AND(B603='IN-TC'!$S$4,OR(TH!N603="1111",TH!O603="1111")),TH!D603,""),"")</f>
        <v/>
      </c>
      <c r="B603" s="34">
        <f t="shared" si="21"/>
        <v>4</v>
      </c>
      <c r="C603" s="35">
        <f t="shared" si="22"/>
        <v>42485</v>
      </c>
      <c r="D603" s="212"/>
      <c r="E603" s="35">
        <v>42485</v>
      </c>
      <c r="F603" s="144" t="s">
        <v>1466</v>
      </c>
      <c r="G603" s="191"/>
      <c r="H603" s="198" t="s">
        <v>840</v>
      </c>
      <c r="I603" s="186">
        <v>2462</v>
      </c>
      <c r="J603" s="186">
        <v>15000</v>
      </c>
      <c r="K603" s="185"/>
      <c r="L603" s="186"/>
      <c r="M603" s="36">
        <f>ROUND(I603*J603,0)</f>
        <v>36930000</v>
      </c>
      <c r="N603" s="37" t="s">
        <v>1443</v>
      </c>
      <c r="O603" s="37" t="s">
        <v>8</v>
      </c>
      <c r="P603" s="47" t="str">
        <f>IF(AND('331-CT'!$F$5=TH!H603,OR(N603="331",O603="331")),"x","")</f>
        <v/>
      </c>
      <c r="Q603" s="47" t="str">
        <f>IF(AND(B603='111'!$L$11,OR($N603=$Q$7,$O603=$Q$7)),"x","")</f>
        <v/>
      </c>
      <c r="R603" s="47" t="str">
        <f>IF(AND($N603=$Q$7,$B603&lt;'111'!$L$11),"x","")</f>
        <v/>
      </c>
      <c r="S603" s="47" t="str">
        <f>IF(AND($O603=$Q$7,$B603&lt;'111'!$L$11),"x","")</f>
        <v/>
      </c>
    </row>
    <row r="604" spans="1:19" ht="15.75" customHeight="1">
      <c r="A604" s="152" t="str">
        <f>IF(B604&lt;&gt;"",IF(AND(B604='IN-TC'!$S$4,OR(TH!N604="1111",TH!O604="1111")),TH!D604,""),"")</f>
        <v/>
      </c>
      <c r="B604" s="34">
        <f t="shared" si="21"/>
        <v>4</v>
      </c>
      <c r="C604" s="35">
        <f t="shared" si="22"/>
        <v>42486</v>
      </c>
      <c r="D604" s="212" t="s">
        <v>1032</v>
      </c>
      <c r="E604" s="35">
        <v>42486</v>
      </c>
      <c r="F604" s="144" t="s">
        <v>169</v>
      </c>
      <c r="G604" s="191" t="s">
        <v>109</v>
      </c>
      <c r="H604" s="198"/>
      <c r="I604" s="186"/>
      <c r="J604" s="186"/>
      <c r="K604" s="185"/>
      <c r="L604" s="186"/>
      <c r="M604" s="36">
        <v>97240000</v>
      </c>
      <c r="N604" s="37" t="s">
        <v>34</v>
      </c>
      <c r="O604" s="37"/>
      <c r="P604" s="47" t="str">
        <f>IF(AND('331-CT'!$F$5=TH!H604,OR(N604="331",O604="331")),"x","")</f>
        <v/>
      </c>
      <c r="Q604" s="47" t="str">
        <f>IF(AND(B604='111'!$L$11,OR($N604=$Q$7,$O604=$Q$7)),"x","")</f>
        <v/>
      </c>
      <c r="R604" s="47" t="str">
        <f>IF(AND($N604=$Q$7,$B604&lt;'111'!$L$11),"x","")</f>
        <v>x</v>
      </c>
      <c r="S604" s="47" t="str">
        <f>IF(AND($O604=$Q$7,$B604&lt;'111'!$L$11),"x","")</f>
        <v/>
      </c>
    </row>
    <row r="605" spans="1:19" ht="15.75" customHeight="1">
      <c r="A605" s="152" t="str">
        <f>IF(B605&lt;&gt;"",IF(AND(B605='IN-TC'!$S$4,OR(TH!N605="1111",TH!O605="1111")),TH!D605,""),"")</f>
        <v/>
      </c>
      <c r="B605" s="34">
        <f t="shared" si="21"/>
        <v>4</v>
      </c>
      <c r="C605" s="35">
        <f t="shared" si="22"/>
        <v>42486</v>
      </c>
      <c r="D605" s="212" t="s">
        <v>963</v>
      </c>
      <c r="E605" s="35">
        <v>42486</v>
      </c>
      <c r="F605" s="144" t="s">
        <v>593</v>
      </c>
      <c r="G605" s="191" t="s">
        <v>202</v>
      </c>
      <c r="H605" s="198"/>
      <c r="I605" s="186"/>
      <c r="J605" s="186"/>
      <c r="K605" s="185"/>
      <c r="L605" s="186"/>
      <c r="M605" s="36">
        <v>2100000</v>
      </c>
      <c r="N605" s="37"/>
      <c r="O605" s="37" t="s">
        <v>34</v>
      </c>
      <c r="P605" s="47" t="str">
        <f>IF(AND('331-CT'!$F$5=TH!H605,OR(N605="331",O605="331")),"x","")</f>
        <v/>
      </c>
      <c r="Q605" s="47" t="str">
        <f>IF(AND(B605='111'!$L$11,OR($N605=$Q$7,$O605=$Q$7)),"x","")</f>
        <v/>
      </c>
      <c r="R605" s="47" t="str">
        <f>IF(AND($N605=$Q$7,$B605&lt;'111'!$L$11),"x","")</f>
        <v/>
      </c>
      <c r="S605" s="47" t="str">
        <f>IF(AND($O605=$Q$7,$B605&lt;'111'!$L$11),"x","")</f>
        <v>x</v>
      </c>
    </row>
    <row r="606" spans="1:19" ht="15.75" customHeight="1">
      <c r="A606" s="152" t="str">
        <f>IF(B606&lt;&gt;"",IF(AND(B606='IN-TC'!$S$4,OR(TH!N606="1111",TH!O606="1111")),TH!D606,""),"")</f>
        <v/>
      </c>
      <c r="B606" s="34">
        <f t="shared" si="21"/>
        <v>4</v>
      </c>
      <c r="C606" s="35">
        <f t="shared" si="22"/>
        <v>42486</v>
      </c>
      <c r="D606" s="212" t="s">
        <v>964</v>
      </c>
      <c r="E606" s="35">
        <v>42486</v>
      </c>
      <c r="F606" s="144" t="s">
        <v>594</v>
      </c>
      <c r="G606" s="191" t="s">
        <v>209</v>
      </c>
      <c r="H606" s="198"/>
      <c r="I606" s="186"/>
      <c r="J606" s="186"/>
      <c r="K606" s="185"/>
      <c r="L606" s="186"/>
      <c r="M606" s="36">
        <v>295000</v>
      </c>
      <c r="N606" s="37"/>
      <c r="O606" s="37" t="s">
        <v>34</v>
      </c>
      <c r="P606" s="47" t="str">
        <f>IF(AND('331-CT'!$F$5=TH!H606,OR(N606="331",O606="331")),"x","")</f>
        <v/>
      </c>
      <c r="Q606" s="47" t="str">
        <f>IF(AND(B606='111'!$L$11,OR($N606=$Q$7,$O606=$Q$7)),"x","")</f>
        <v/>
      </c>
      <c r="R606" s="47" t="str">
        <f>IF(AND($N606=$Q$7,$B606&lt;'111'!$L$11),"x","")</f>
        <v/>
      </c>
      <c r="S606" s="47" t="str">
        <f>IF(AND($O606=$Q$7,$B606&lt;'111'!$L$11),"x","")</f>
        <v>x</v>
      </c>
    </row>
    <row r="607" spans="1:19" ht="15.75" customHeight="1">
      <c r="A607" s="152" t="str">
        <f>IF(B607&lt;&gt;"",IF(AND(B607='IN-TC'!$S$4,OR(TH!N607="1111",TH!O607="1111")),TH!D607,""),"")</f>
        <v/>
      </c>
      <c r="B607" s="34">
        <f t="shared" si="21"/>
        <v>4</v>
      </c>
      <c r="C607" s="35">
        <f t="shared" si="22"/>
        <v>42486</v>
      </c>
      <c r="D607" s="212" t="s">
        <v>965</v>
      </c>
      <c r="E607" s="35">
        <v>42486</v>
      </c>
      <c r="F607" s="144" t="s">
        <v>479</v>
      </c>
      <c r="G607" s="191" t="s">
        <v>207</v>
      </c>
      <c r="H607" s="198"/>
      <c r="I607" s="186"/>
      <c r="J607" s="186"/>
      <c r="K607" s="185"/>
      <c r="L607" s="186"/>
      <c r="M607" s="36">
        <v>500000</v>
      </c>
      <c r="N607" s="37"/>
      <c r="O607" s="37" t="s">
        <v>34</v>
      </c>
      <c r="P607" s="47" t="str">
        <f>IF(AND('331-CT'!$F$5=TH!H607,OR(N607="331",O607="331")),"x","")</f>
        <v/>
      </c>
      <c r="Q607" s="47" t="str">
        <f>IF(AND(B607='111'!$L$11,OR($N607=$Q$7,$O607=$Q$7)),"x","")</f>
        <v/>
      </c>
      <c r="R607" s="47" t="str">
        <f>IF(AND($N607=$Q$7,$B607&lt;'111'!$L$11),"x","")</f>
        <v/>
      </c>
      <c r="S607" s="47" t="str">
        <f>IF(AND($O607=$Q$7,$B607&lt;'111'!$L$11),"x","")</f>
        <v>x</v>
      </c>
    </row>
    <row r="608" spans="1:19" ht="15.75" customHeight="1">
      <c r="A608" s="152" t="str">
        <f>IF(B608&lt;&gt;"",IF(AND(B608='IN-TC'!$S$4,OR(TH!N608="1111",TH!O608="1111")),TH!D608,""),"")</f>
        <v/>
      </c>
      <c r="B608" s="34">
        <f t="shared" si="21"/>
        <v>4</v>
      </c>
      <c r="C608" s="35">
        <f t="shared" si="22"/>
        <v>42486</v>
      </c>
      <c r="D608" s="212" t="s">
        <v>966</v>
      </c>
      <c r="E608" s="35">
        <v>42486</v>
      </c>
      <c r="F608" s="144" t="s">
        <v>595</v>
      </c>
      <c r="G608" s="191" t="s">
        <v>104</v>
      </c>
      <c r="H608" s="198"/>
      <c r="I608" s="186"/>
      <c r="J608" s="186"/>
      <c r="K608" s="185"/>
      <c r="L608" s="186"/>
      <c r="M608" s="36">
        <v>20000000</v>
      </c>
      <c r="N608" s="37"/>
      <c r="O608" s="37" t="s">
        <v>34</v>
      </c>
      <c r="P608" s="47" t="str">
        <f>IF(AND('331-CT'!$F$5=TH!H608,OR(N608="331",O608="331")),"x","")</f>
        <v/>
      </c>
      <c r="Q608" s="47" t="str">
        <f>IF(AND(B608='111'!$L$11,OR($N608=$Q$7,$O608=$Q$7)),"x","")</f>
        <v/>
      </c>
      <c r="R608" s="47" t="str">
        <f>IF(AND($N608=$Q$7,$B608&lt;'111'!$L$11),"x","")</f>
        <v/>
      </c>
      <c r="S608" s="47" t="str">
        <f>IF(AND($O608=$Q$7,$B608&lt;'111'!$L$11),"x","")</f>
        <v>x</v>
      </c>
    </row>
    <row r="609" spans="1:19" ht="15.75" customHeight="1">
      <c r="A609" s="152" t="str">
        <f>IF(B609&lt;&gt;"",IF(AND(B609='IN-TC'!$S$4,OR(TH!N609="1111",TH!O609="1111")),TH!D609,""),"")</f>
        <v/>
      </c>
      <c r="B609" s="34">
        <f t="shared" si="21"/>
        <v>4</v>
      </c>
      <c r="C609" s="35">
        <f t="shared" si="22"/>
        <v>42486</v>
      </c>
      <c r="D609" s="212" t="s">
        <v>967</v>
      </c>
      <c r="E609" s="35">
        <v>42486</v>
      </c>
      <c r="F609" s="144" t="s">
        <v>596</v>
      </c>
      <c r="G609" s="191" t="s">
        <v>207</v>
      </c>
      <c r="H609" s="198"/>
      <c r="I609" s="186"/>
      <c r="J609" s="186"/>
      <c r="K609" s="185"/>
      <c r="L609" s="186"/>
      <c r="M609" s="36">
        <v>3825000</v>
      </c>
      <c r="N609" s="37"/>
      <c r="O609" s="37" t="s">
        <v>34</v>
      </c>
      <c r="P609" s="47" t="str">
        <f>IF(AND('331-CT'!$F$5=TH!H609,OR(N609="331",O609="331")),"x","")</f>
        <v/>
      </c>
      <c r="Q609" s="47" t="str">
        <f>IF(AND(B609='111'!$L$11,OR($N609=$Q$7,$O609=$Q$7)),"x","")</f>
        <v/>
      </c>
      <c r="R609" s="47" t="str">
        <f>IF(AND($N609=$Q$7,$B609&lt;'111'!$L$11),"x","")</f>
        <v/>
      </c>
      <c r="S609" s="47" t="str">
        <f>IF(AND($O609=$Q$7,$B609&lt;'111'!$L$11),"x","")</f>
        <v>x</v>
      </c>
    </row>
    <row r="610" spans="1:19" ht="15.75" customHeight="1">
      <c r="A610" s="152" t="str">
        <f>IF(B610&lt;&gt;"",IF(AND(B610='IN-TC'!$S$4,OR(TH!N610="1111",TH!O610="1111")),TH!D610,""),"")</f>
        <v/>
      </c>
      <c r="B610" s="34">
        <f t="shared" si="21"/>
        <v>4</v>
      </c>
      <c r="C610" s="35">
        <f t="shared" si="22"/>
        <v>42486</v>
      </c>
      <c r="D610" s="212" t="s">
        <v>968</v>
      </c>
      <c r="E610" s="35">
        <v>42486</v>
      </c>
      <c r="F610" s="144" t="s">
        <v>347</v>
      </c>
      <c r="G610" s="191" t="s">
        <v>206</v>
      </c>
      <c r="H610" s="198" t="s">
        <v>825</v>
      </c>
      <c r="I610" s="186"/>
      <c r="J610" s="186"/>
      <c r="K610" s="185"/>
      <c r="L610" s="186"/>
      <c r="M610" s="36">
        <v>100000000</v>
      </c>
      <c r="N610" s="37" t="s">
        <v>8</v>
      </c>
      <c r="O610" s="37" t="s">
        <v>34</v>
      </c>
      <c r="P610" s="47" t="str">
        <f>IF(AND('331-CT'!$F$5=TH!H610,OR(N610="331",O610="331")),"x","")</f>
        <v/>
      </c>
      <c r="Q610" s="47" t="str">
        <f>IF(AND(B610='111'!$L$11,OR($N610=$Q$7,$O610=$Q$7)),"x","")</f>
        <v/>
      </c>
      <c r="R610" s="47" t="str">
        <f>IF(AND($N610=$Q$7,$B610&lt;'111'!$L$11),"x","")</f>
        <v/>
      </c>
      <c r="S610" s="47" t="str">
        <f>IF(AND($O610=$Q$7,$B610&lt;'111'!$L$11),"x","")</f>
        <v>x</v>
      </c>
    </row>
    <row r="611" spans="1:19" ht="15.75" customHeight="1">
      <c r="A611" s="152" t="str">
        <f>IF(B611&lt;&gt;"",IF(AND(B611='IN-TC'!$S$4,OR(TH!N611="1111",TH!O611="1111")),TH!D611,""),"")</f>
        <v/>
      </c>
      <c r="B611" s="34">
        <f t="shared" si="21"/>
        <v>4</v>
      </c>
      <c r="C611" s="35">
        <f t="shared" si="22"/>
        <v>42486</v>
      </c>
      <c r="D611" s="212" t="s">
        <v>969</v>
      </c>
      <c r="E611" s="35">
        <v>42486</v>
      </c>
      <c r="F611" s="144" t="s">
        <v>597</v>
      </c>
      <c r="G611" s="191" t="s">
        <v>202</v>
      </c>
      <c r="H611" s="198"/>
      <c r="I611" s="186"/>
      <c r="J611" s="186"/>
      <c r="K611" s="185"/>
      <c r="L611" s="186"/>
      <c r="M611" s="36">
        <v>800000</v>
      </c>
      <c r="N611" s="37"/>
      <c r="O611" s="37" t="s">
        <v>34</v>
      </c>
      <c r="P611" s="47" t="str">
        <f>IF(AND('331-CT'!$F$5=TH!H611,OR(N611="331",O611="331")),"x","")</f>
        <v/>
      </c>
      <c r="Q611" s="47" t="str">
        <f>IF(AND(B611='111'!$L$11,OR($N611=$Q$7,$O611=$Q$7)),"x","")</f>
        <v/>
      </c>
      <c r="R611" s="47" t="str">
        <f>IF(AND($N611=$Q$7,$B611&lt;'111'!$L$11),"x","")</f>
        <v/>
      </c>
      <c r="S611" s="47" t="str">
        <f>IF(AND($O611=$Q$7,$B611&lt;'111'!$L$11),"x","")</f>
        <v>x</v>
      </c>
    </row>
    <row r="612" spans="1:19" ht="15.75" customHeight="1">
      <c r="A612" s="152" t="str">
        <f>IF(B612&lt;&gt;"",IF(AND(B612='IN-TC'!$S$4,OR(TH!N612="1111",TH!O612="1111")),TH!D612,""),"")</f>
        <v/>
      </c>
      <c r="B612" s="34">
        <f t="shared" si="21"/>
        <v>4</v>
      </c>
      <c r="C612" s="35">
        <f t="shared" si="22"/>
        <v>42486</v>
      </c>
      <c r="D612" s="212"/>
      <c r="E612" s="35">
        <v>42486</v>
      </c>
      <c r="F612" s="144" t="s">
        <v>1488</v>
      </c>
      <c r="G612" s="191" t="s">
        <v>1454</v>
      </c>
      <c r="H612" s="198" t="s">
        <v>823</v>
      </c>
      <c r="I612" s="186">
        <v>1025</v>
      </c>
      <c r="J612" s="186">
        <v>54000</v>
      </c>
      <c r="K612" s="185"/>
      <c r="L612" s="186"/>
      <c r="M612" s="36">
        <f>ROUND(I612*J612,0)</f>
        <v>55350000</v>
      </c>
      <c r="N612" s="37" t="s">
        <v>1443</v>
      </c>
      <c r="O612" s="37" t="s">
        <v>8</v>
      </c>
      <c r="P612" s="47" t="str">
        <f>IF(AND('331-CT'!$F$5=TH!H612,OR(N612="331",O612="331")),"x","")</f>
        <v/>
      </c>
      <c r="Q612" s="47" t="str">
        <f>IF(AND(B612='111'!$L$11,OR($N612=$Q$7,$O612=$Q$7)),"x","")</f>
        <v/>
      </c>
      <c r="R612" s="47" t="str">
        <f>IF(AND($N612=$Q$7,$B612&lt;'111'!$L$11),"x","")</f>
        <v/>
      </c>
      <c r="S612" s="47" t="str">
        <f>IF(AND($O612=$Q$7,$B612&lt;'111'!$L$11),"x","")</f>
        <v/>
      </c>
    </row>
    <row r="613" spans="1:19" ht="15.75" customHeight="1">
      <c r="A613" s="152" t="str">
        <f>IF(B613&lt;&gt;"",IF(AND(B613='IN-TC'!$S$4,OR(TH!N613="1111",TH!O613="1111")),TH!D613,""),"")</f>
        <v/>
      </c>
      <c r="B613" s="34">
        <f t="shared" si="21"/>
        <v>4</v>
      </c>
      <c r="C613" s="35">
        <f t="shared" si="22"/>
        <v>42486</v>
      </c>
      <c r="D613" s="212"/>
      <c r="E613" s="35">
        <v>42486</v>
      </c>
      <c r="F613" s="144" t="s">
        <v>1502</v>
      </c>
      <c r="G613" s="191" t="s">
        <v>1454</v>
      </c>
      <c r="H613" s="198" t="s">
        <v>846</v>
      </c>
      <c r="I613" s="186">
        <v>160</v>
      </c>
      <c r="J613" s="186">
        <v>52000</v>
      </c>
      <c r="K613" s="185"/>
      <c r="L613" s="186"/>
      <c r="M613" s="36">
        <f>ROUND(I613*J613,-3)</f>
        <v>8320000</v>
      </c>
      <c r="N613" s="37" t="s">
        <v>1443</v>
      </c>
      <c r="O613" s="37" t="s">
        <v>8</v>
      </c>
      <c r="P613" s="47" t="str">
        <f>IF(AND('331-CT'!$F$5=TH!H613,OR(N613="331",O613="331")),"x","")</f>
        <v/>
      </c>
      <c r="Q613" s="47" t="str">
        <f>IF(AND(B613='111'!$L$11,OR($N613=$Q$7,$O613=$Q$7)),"x","")</f>
        <v/>
      </c>
      <c r="R613" s="47" t="str">
        <f>IF(AND($N613=$Q$7,$B613&lt;'111'!$L$11),"x","")</f>
        <v/>
      </c>
      <c r="S613" s="47" t="str">
        <f>IF(AND($O613=$Q$7,$B613&lt;'111'!$L$11),"x","")</f>
        <v/>
      </c>
    </row>
    <row r="614" spans="1:19" ht="15.75" customHeight="1">
      <c r="A614" s="152" t="str">
        <f>IF(B614&lt;&gt;"",IF(AND(B614='IN-TC'!$S$4,OR(TH!N614="1111",TH!O614="1111")),TH!D614,""),"")</f>
        <v/>
      </c>
      <c r="B614" s="34">
        <f t="shared" si="21"/>
        <v>4</v>
      </c>
      <c r="C614" s="35">
        <f t="shared" si="22"/>
        <v>42486</v>
      </c>
      <c r="D614" s="212"/>
      <c r="E614" s="35">
        <v>42486</v>
      </c>
      <c r="F614" s="144" t="s">
        <v>1506</v>
      </c>
      <c r="G614" s="191" t="s">
        <v>1454</v>
      </c>
      <c r="H614" s="198" t="s">
        <v>846</v>
      </c>
      <c r="I614" s="186">
        <v>1293</v>
      </c>
      <c r="J614" s="186">
        <v>52000</v>
      </c>
      <c r="K614" s="185"/>
      <c r="L614" s="186"/>
      <c r="M614" s="36">
        <f>ROUND(I614*J614,-3)</f>
        <v>67236000</v>
      </c>
      <c r="N614" s="37" t="s">
        <v>1443</v>
      </c>
      <c r="O614" s="37" t="s">
        <v>8</v>
      </c>
      <c r="P614" s="47" t="str">
        <f>IF(AND('331-CT'!$F$5=TH!H614,OR(N614="331",O614="331")),"x","")</f>
        <v/>
      </c>
      <c r="Q614" s="47" t="str">
        <f>IF(AND(B614='111'!$L$11,OR($N614=$Q$7,$O614=$Q$7)),"x","")</f>
        <v/>
      </c>
      <c r="R614" s="47" t="str">
        <f>IF(AND($N614=$Q$7,$B614&lt;'111'!$L$11),"x","")</f>
        <v/>
      </c>
      <c r="S614" s="47" t="str">
        <f>IF(AND($O614=$Q$7,$B614&lt;'111'!$L$11),"x","")</f>
        <v/>
      </c>
    </row>
    <row r="615" spans="1:19" ht="15.75" customHeight="1">
      <c r="A615" s="152" t="str">
        <f>IF(B615&lt;&gt;"",IF(AND(B615='IN-TC'!$S$4,OR(TH!N615="1111",TH!O615="1111")),TH!D615,""),"")</f>
        <v/>
      </c>
      <c r="B615" s="34">
        <f t="shared" si="21"/>
        <v>4</v>
      </c>
      <c r="C615" s="35">
        <f t="shared" si="22"/>
        <v>42486</v>
      </c>
      <c r="D615" s="212"/>
      <c r="E615" s="35">
        <v>42486</v>
      </c>
      <c r="F615" s="144" t="s">
        <v>1476</v>
      </c>
      <c r="G615" s="191" t="s">
        <v>1454</v>
      </c>
      <c r="H615" s="198" t="s">
        <v>846</v>
      </c>
      <c r="I615" s="186">
        <v>405</v>
      </c>
      <c r="J615" s="186">
        <v>37000</v>
      </c>
      <c r="K615" s="185"/>
      <c r="L615" s="186"/>
      <c r="M615" s="36">
        <f>ROUND(I615*J615,-3)</f>
        <v>14985000</v>
      </c>
      <c r="N615" s="37" t="s">
        <v>1443</v>
      </c>
      <c r="O615" s="37" t="s">
        <v>8</v>
      </c>
      <c r="P615" s="47" t="str">
        <f>IF(AND('331-CT'!$F$5=TH!H615,OR(N615="331",O615="331")),"x","")</f>
        <v/>
      </c>
      <c r="Q615" s="47" t="str">
        <f>IF(AND(B615='111'!$L$11,OR($N615=$Q$7,$O615=$Q$7)),"x","")</f>
        <v/>
      </c>
      <c r="R615" s="47" t="str">
        <f>IF(AND($N615=$Q$7,$B615&lt;'111'!$L$11),"x","")</f>
        <v/>
      </c>
      <c r="S615" s="47" t="str">
        <f>IF(AND($O615=$Q$7,$B615&lt;'111'!$L$11),"x","")</f>
        <v/>
      </c>
    </row>
    <row r="616" spans="1:19" ht="15.75" customHeight="1">
      <c r="A616" s="152" t="str">
        <f>IF(B616&lt;&gt;"",IF(AND(B616='IN-TC'!$S$4,OR(TH!N616="1111",TH!O616="1111")),TH!D616,""),"")</f>
        <v/>
      </c>
      <c r="B616" s="34">
        <f t="shared" si="21"/>
        <v>4</v>
      </c>
      <c r="C616" s="35">
        <f t="shared" si="22"/>
        <v>42487</v>
      </c>
      <c r="D616" s="212" t="s">
        <v>970</v>
      </c>
      <c r="E616" s="35">
        <v>42487</v>
      </c>
      <c r="F616" s="144" t="s">
        <v>598</v>
      </c>
      <c r="G616" s="191" t="s">
        <v>104</v>
      </c>
      <c r="H616" s="198"/>
      <c r="I616" s="186"/>
      <c r="J616" s="186"/>
      <c r="K616" s="185"/>
      <c r="L616" s="186"/>
      <c r="M616" s="36">
        <v>47000000</v>
      </c>
      <c r="N616" s="37"/>
      <c r="O616" s="37" t="s">
        <v>34</v>
      </c>
      <c r="P616" s="47" t="str">
        <f>IF(AND('331-CT'!$F$5=TH!H616,OR(N616="331",O616="331")),"x","")</f>
        <v/>
      </c>
      <c r="Q616" s="47" t="str">
        <f>IF(AND(B616='111'!$L$11,OR($N616=$Q$7,$O616=$Q$7)),"x","")</f>
        <v/>
      </c>
      <c r="R616" s="47" t="str">
        <f>IF(AND($N616=$Q$7,$B616&lt;'111'!$L$11),"x","")</f>
        <v/>
      </c>
      <c r="S616" s="47" t="str">
        <f>IF(AND($O616=$Q$7,$B616&lt;'111'!$L$11),"x","")</f>
        <v>x</v>
      </c>
    </row>
    <row r="617" spans="1:19" ht="15.75" customHeight="1">
      <c r="A617" s="152" t="str">
        <f>IF(B617&lt;&gt;"",IF(AND(B617='IN-TC'!$S$4,OR(TH!N617="1111",TH!O617="1111")),TH!D617,""),"")</f>
        <v/>
      </c>
      <c r="B617" s="34">
        <f t="shared" si="21"/>
        <v>4</v>
      </c>
      <c r="C617" s="35">
        <f t="shared" si="22"/>
        <v>42487</v>
      </c>
      <c r="D617" s="212" t="s">
        <v>971</v>
      </c>
      <c r="E617" s="35">
        <v>42487</v>
      </c>
      <c r="F617" s="144" t="s">
        <v>599</v>
      </c>
      <c r="G617" s="191" t="s">
        <v>202</v>
      </c>
      <c r="H617" s="198"/>
      <c r="I617" s="186"/>
      <c r="J617" s="186"/>
      <c r="K617" s="185"/>
      <c r="L617" s="186"/>
      <c r="M617" s="36">
        <v>33000</v>
      </c>
      <c r="N617" s="37"/>
      <c r="O617" s="37" t="s">
        <v>34</v>
      </c>
      <c r="P617" s="47" t="str">
        <f>IF(AND('331-CT'!$F$5=TH!H617,OR(N617="331",O617="331")),"x","")</f>
        <v/>
      </c>
      <c r="Q617" s="47" t="str">
        <f>IF(AND(B617='111'!$L$11,OR($N617=$Q$7,$O617=$Q$7)),"x","")</f>
        <v/>
      </c>
      <c r="R617" s="47" t="str">
        <f>IF(AND($N617=$Q$7,$B617&lt;'111'!$L$11),"x","")</f>
        <v/>
      </c>
      <c r="S617" s="47" t="str">
        <f>IF(AND($O617=$Q$7,$B617&lt;'111'!$L$11),"x","")</f>
        <v>x</v>
      </c>
    </row>
    <row r="618" spans="1:19" ht="15.75" customHeight="1">
      <c r="A618" s="152" t="str">
        <f>IF(B618&lt;&gt;"",IF(AND(B618='IN-TC'!$S$4,OR(TH!N618="1111",TH!O618="1111")),TH!D618,""),"")</f>
        <v/>
      </c>
      <c r="B618" s="34">
        <f t="shared" si="21"/>
        <v>4</v>
      </c>
      <c r="C618" s="35">
        <f t="shared" si="22"/>
        <v>42487</v>
      </c>
      <c r="D618" s="212" t="s">
        <v>972</v>
      </c>
      <c r="E618" s="35">
        <v>42487</v>
      </c>
      <c r="F618" s="144" t="s">
        <v>600</v>
      </c>
      <c r="G618" s="191" t="s">
        <v>206</v>
      </c>
      <c r="H618" s="198" t="s">
        <v>830</v>
      </c>
      <c r="I618" s="186"/>
      <c r="J618" s="186"/>
      <c r="K618" s="185"/>
      <c r="L618" s="186"/>
      <c r="M618" s="36">
        <v>7847000</v>
      </c>
      <c r="N618" s="37" t="s">
        <v>8</v>
      </c>
      <c r="O618" s="37" t="s">
        <v>34</v>
      </c>
      <c r="P618" s="47" t="str">
        <f>IF(AND('331-CT'!$F$5=TH!H618,OR(N618="331",O618="331")),"x","")</f>
        <v/>
      </c>
      <c r="Q618" s="47" t="str">
        <f>IF(AND(B618='111'!$L$11,OR($N618=$Q$7,$O618=$Q$7)),"x","")</f>
        <v/>
      </c>
      <c r="R618" s="47" t="str">
        <f>IF(AND($N618=$Q$7,$B618&lt;'111'!$L$11),"x","")</f>
        <v/>
      </c>
      <c r="S618" s="47" t="str">
        <f>IF(AND($O618=$Q$7,$B618&lt;'111'!$L$11),"x","")</f>
        <v>x</v>
      </c>
    </row>
    <row r="619" spans="1:19" ht="15.75" customHeight="1">
      <c r="A619" s="152" t="str">
        <f>IF(B619&lt;&gt;"",IF(AND(B619='IN-TC'!$S$4,OR(TH!N619="1111",TH!O619="1111")),TH!D619,""),"")</f>
        <v/>
      </c>
      <c r="B619" s="34">
        <f t="shared" si="21"/>
        <v>4</v>
      </c>
      <c r="C619" s="35">
        <f t="shared" si="22"/>
        <v>42487</v>
      </c>
      <c r="D619" s="212" t="s">
        <v>973</v>
      </c>
      <c r="E619" s="35">
        <v>42487</v>
      </c>
      <c r="F619" s="144" t="s">
        <v>601</v>
      </c>
      <c r="G619" s="191" t="s">
        <v>208</v>
      </c>
      <c r="H619" s="198"/>
      <c r="I619" s="186"/>
      <c r="J619" s="186"/>
      <c r="K619" s="185"/>
      <c r="L619" s="186"/>
      <c r="M619" s="36">
        <v>2902000</v>
      </c>
      <c r="N619" s="37"/>
      <c r="O619" s="37" t="s">
        <v>34</v>
      </c>
      <c r="P619" s="47" t="str">
        <f>IF(AND('331-CT'!$F$5=TH!H619,OR(N619="331",O619="331")),"x","")</f>
        <v/>
      </c>
      <c r="Q619" s="47" t="str">
        <f>IF(AND(B619='111'!$L$11,OR($N619=$Q$7,$O619=$Q$7)),"x","")</f>
        <v/>
      </c>
      <c r="R619" s="47" t="str">
        <f>IF(AND($N619=$Q$7,$B619&lt;'111'!$L$11),"x","")</f>
        <v/>
      </c>
      <c r="S619" s="47" t="str">
        <f>IF(AND($O619=$Q$7,$B619&lt;'111'!$L$11),"x","")</f>
        <v>x</v>
      </c>
    </row>
    <row r="620" spans="1:19" ht="15.75" customHeight="1">
      <c r="A620" s="152" t="str">
        <f>IF(B620&lt;&gt;"",IF(AND(B620='IN-TC'!$S$4,OR(TH!N620="1111",TH!O620="1111")),TH!D620,""),"")</f>
        <v/>
      </c>
      <c r="B620" s="34">
        <f t="shared" si="21"/>
        <v>4</v>
      </c>
      <c r="C620" s="35">
        <f t="shared" si="22"/>
        <v>42488</v>
      </c>
      <c r="D620" s="212" t="s">
        <v>974</v>
      </c>
      <c r="E620" s="35">
        <v>42488</v>
      </c>
      <c r="F620" s="144" t="s">
        <v>602</v>
      </c>
      <c r="G620" s="191" t="s">
        <v>206</v>
      </c>
      <c r="H620" s="198" t="s">
        <v>831</v>
      </c>
      <c r="I620" s="186"/>
      <c r="J620" s="186"/>
      <c r="K620" s="185"/>
      <c r="L620" s="186"/>
      <c r="M620" s="36">
        <v>41850000</v>
      </c>
      <c r="N620" s="37" t="s">
        <v>8</v>
      </c>
      <c r="O620" s="37" t="s">
        <v>34</v>
      </c>
      <c r="P620" s="47" t="str">
        <f>IF(AND('331-CT'!$F$5=TH!H620,OR(N620="331",O620="331")),"x","")</f>
        <v/>
      </c>
      <c r="Q620" s="47" t="str">
        <f>IF(AND(B620='111'!$L$11,OR($N620=$Q$7,$O620=$Q$7)),"x","")</f>
        <v/>
      </c>
      <c r="R620" s="47" t="str">
        <f>IF(AND($N620=$Q$7,$B620&lt;'111'!$L$11),"x","")</f>
        <v/>
      </c>
      <c r="S620" s="47" t="str">
        <f>IF(AND($O620=$Q$7,$B620&lt;'111'!$L$11),"x","")</f>
        <v>x</v>
      </c>
    </row>
    <row r="621" spans="1:19" ht="15.75" customHeight="1">
      <c r="A621" s="152" t="str">
        <f>IF(B621&lt;&gt;"",IF(AND(B621='IN-TC'!$S$4,OR(TH!N621="1111",TH!O621="1111")),TH!D621,""),"")</f>
        <v/>
      </c>
      <c r="B621" s="34">
        <f t="shared" si="21"/>
        <v>4</v>
      </c>
      <c r="C621" s="35">
        <f t="shared" si="22"/>
        <v>42488</v>
      </c>
      <c r="D621" s="212" t="s">
        <v>974</v>
      </c>
      <c r="E621" s="35">
        <v>42488</v>
      </c>
      <c r="F621" s="144" t="s">
        <v>1424</v>
      </c>
      <c r="G621" s="191"/>
      <c r="H621" s="198"/>
      <c r="I621" s="186"/>
      <c r="J621" s="186"/>
      <c r="K621" s="185"/>
      <c r="L621" s="186"/>
      <c r="M621" s="36">
        <v>22000</v>
      </c>
      <c r="N621" s="37" t="s">
        <v>1425</v>
      </c>
      <c r="O621" s="37" t="s">
        <v>34</v>
      </c>
      <c r="P621" s="47" t="str">
        <f>IF(AND('331-CT'!$F$5=TH!H621,OR(N621="331",O621="331")),"x","")</f>
        <v/>
      </c>
      <c r="Q621" s="47" t="str">
        <f>IF(AND(B621='111'!$L$11,OR($N621=$Q$7,$O621=$Q$7)),"x","")</f>
        <v/>
      </c>
      <c r="R621" s="47" t="str">
        <f>IF(AND($N621=$Q$7,$B621&lt;'111'!$L$11),"x","")</f>
        <v/>
      </c>
      <c r="S621" s="47" t="str">
        <f>IF(AND($O621=$Q$7,$B621&lt;'111'!$L$11),"x","")</f>
        <v>x</v>
      </c>
    </row>
    <row r="622" spans="1:19" ht="15.75" customHeight="1">
      <c r="A622" s="152" t="str">
        <f>IF(B622&lt;&gt;"",IF(AND(B622='IN-TC'!$S$4,OR(TH!N622="1111",TH!O622="1111")),TH!D622,""),"")</f>
        <v/>
      </c>
      <c r="B622" s="34">
        <f t="shared" si="21"/>
        <v>4</v>
      </c>
      <c r="C622" s="35">
        <f t="shared" si="22"/>
        <v>42488</v>
      </c>
      <c r="D622" s="212" t="s">
        <v>975</v>
      </c>
      <c r="E622" s="35">
        <v>42488</v>
      </c>
      <c r="F622" s="144" t="s">
        <v>603</v>
      </c>
      <c r="G622" s="191" t="s">
        <v>203</v>
      </c>
      <c r="H622" s="198" t="s">
        <v>1414</v>
      </c>
      <c r="I622" s="186"/>
      <c r="J622" s="186"/>
      <c r="K622" s="185"/>
      <c r="L622" s="186"/>
      <c r="M622" s="36">
        <v>2017000</v>
      </c>
      <c r="N622" s="37" t="s">
        <v>814</v>
      </c>
      <c r="O622" s="37" t="s">
        <v>34</v>
      </c>
      <c r="P622" s="47" t="str">
        <f>IF(AND('331-CT'!$F$5=TH!H622,OR(N622="331",O622="331")),"x","")</f>
        <v/>
      </c>
      <c r="Q622" s="47" t="str">
        <f>IF(AND(B622='111'!$L$11,OR($N622=$Q$7,$O622=$Q$7)),"x","")</f>
        <v/>
      </c>
      <c r="R622" s="47" t="str">
        <f>IF(AND($N622=$Q$7,$B622&lt;'111'!$L$11),"x","")</f>
        <v/>
      </c>
      <c r="S622" s="47" t="str">
        <f>IF(AND($O622=$Q$7,$B622&lt;'111'!$L$11),"x","")</f>
        <v>x</v>
      </c>
    </row>
    <row r="623" spans="1:19" ht="15.75" customHeight="1">
      <c r="A623" s="152" t="str">
        <f>IF(B623&lt;&gt;"",IF(AND(B623='IN-TC'!$S$4,OR(TH!N623="1111",TH!O623="1111")),TH!D623,""),"")</f>
        <v/>
      </c>
      <c r="B623" s="34">
        <f t="shared" si="21"/>
        <v>4</v>
      </c>
      <c r="C623" s="35">
        <f t="shared" si="22"/>
        <v>42488</v>
      </c>
      <c r="D623" s="212" t="s">
        <v>976</v>
      </c>
      <c r="E623" s="35">
        <v>42488</v>
      </c>
      <c r="F623" s="144" t="s">
        <v>604</v>
      </c>
      <c r="G623" s="191" t="s">
        <v>202</v>
      </c>
      <c r="H623" s="198"/>
      <c r="I623" s="186"/>
      <c r="J623" s="186"/>
      <c r="K623" s="185"/>
      <c r="L623" s="186"/>
      <c r="M623" s="36">
        <v>500000</v>
      </c>
      <c r="N623" s="37"/>
      <c r="O623" s="37" t="s">
        <v>34</v>
      </c>
      <c r="P623" s="47" t="str">
        <f>IF(AND('331-CT'!$F$5=TH!H623,OR(N623="331",O623="331")),"x","")</f>
        <v/>
      </c>
      <c r="Q623" s="47" t="str">
        <f>IF(AND(B623='111'!$L$11,OR($N623=$Q$7,$O623=$Q$7)),"x","")</f>
        <v/>
      </c>
      <c r="R623" s="47" t="str">
        <f>IF(AND($N623=$Q$7,$B623&lt;'111'!$L$11),"x","")</f>
        <v/>
      </c>
      <c r="S623" s="47" t="str">
        <f>IF(AND($O623=$Q$7,$B623&lt;'111'!$L$11),"x","")</f>
        <v>x</v>
      </c>
    </row>
    <row r="624" spans="1:19" ht="15.75" customHeight="1">
      <c r="A624" s="152" t="str">
        <f>IF(B624&lt;&gt;"",IF(AND(B624='IN-TC'!$S$4,OR(TH!N624="1111",TH!O624="1111")),TH!D624,""),"")</f>
        <v/>
      </c>
      <c r="B624" s="34">
        <f t="shared" si="21"/>
        <v>4</v>
      </c>
      <c r="C624" s="35">
        <f t="shared" si="22"/>
        <v>42488</v>
      </c>
      <c r="D624" s="212" t="s">
        <v>977</v>
      </c>
      <c r="E624" s="35">
        <v>42488</v>
      </c>
      <c r="F624" s="144" t="s">
        <v>605</v>
      </c>
      <c r="G624" s="191" t="s">
        <v>202</v>
      </c>
      <c r="H624" s="198"/>
      <c r="I624" s="186"/>
      <c r="J624" s="186"/>
      <c r="K624" s="185"/>
      <c r="L624" s="186"/>
      <c r="M624" s="36">
        <v>100000</v>
      </c>
      <c r="N624" s="37"/>
      <c r="O624" s="37" t="s">
        <v>34</v>
      </c>
      <c r="P624" s="47" t="str">
        <f>IF(AND('331-CT'!$F$5=TH!H624,OR(N624="331",O624="331")),"x","")</f>
        <v/>
      </c>
      <c r="Q624" s="47" t="str">
        <f>IF(AND(B624='111'!$L$11,OR($N624=$Q$7,$O624=$Q$7)),"x","")</f>
        <v/>
      </c>
      <c r="R624" s="47" t="str">
        <f>IF(AND($N624=$Q$7,$B624&lt;'111'!$L$11),"x","")</f>
        <v/>
      </c>
      <c r="S624" s="47" t="str">
        <f>IF(AND($O624=$Q$7,$B624&lt;'111'!$L$11),"x","")</f>
        <v>x</v>
      </c>
    </row>
    <row r="625" spans="1:19" ht="15.75" customHeight="1">
      <c r="A625" s="152" t="str">
        <f>IF(B625&lt;&gt;"",IF(AND(B625='IN-TC'!$S$4,OR(TH!N625="1111",TH!O625="1111")),TH!D625,""),"")</f>
        <v/>
      </c>
      <c r="B625" s="34">
        <f t="shared" si="21"/>
        <v>4</v>
      </c>
      <c r="C625" s="35">
        <f t="shared" si="22"/>
        <v>42488</v>
      </c>
      <c r="D625" s="212" t="s">
        <v>978</v>
      </c>
      <c r="E625" s="35">
        <v>42488</v>
      </c>
      <c r="F625" s="144" t="s">
        <v>606</v>
      </c>
      <c r="G625" s="191" t="s">
        <v>221</v>
      </c>
      <c r="H625" s="198"/>
      <c r="I625" s="186"/>
      <c r="J625" s="186"/>
      <c r="K625" s="185"/>
      <c r="L625" s="186"/>
      <c r="M625" s="36">
        <v>3517000</v>
      </c>
      <c r="N625" s="37"/>
      <c r="O625" s="37" t="s">
        <v>34</v>
      </c>
      <c r="P625" s="47" t="str">
        <f>IF(AND('331-CT'!$F$5=TH!H625,OR(N625="331",O625="331")),"x","")</f>
        <v/>
      </c>
      <c r="Q625" s="47" t="str">
        <f>IF(AND(B625='111'!$L$11,OR($N625=$Q$7,$O625=$Q$7)),"x","")</f>
        <v/>
      </c>
      <c r="R625" s="47" t="str">
        <f>IF(AND($N625=$Q$7,$B625&lt;'111'!$L$11),"x","")</f>
        <v/>
      </c>
      <c r="S625" s="47" t="str">
        <f>IF(AND($O625=$Q$7,$B625&lt;'111'!$L$11),"x","")</f>
        <v>x</v>
      </c>
    </row>
    <row r="626" spans="1:19" ht="15.75" customHeight="1">
      <c r="A626" s="152" t="str">
        <f>IF(B626&lt;&gt;"",IF(AND(B626='IN-TC'!$S$4,OR(TH!N626="1111",TH!O626="1111")),TH!D626,""),"")</f>
        <v/>
      </c>
      <c r="B626" s="34">
        <f t="shared" si="21"/>
        <v>4</v>
      </c>
      <c r="C626" s="35">
        <f t="shared" si="22"/>
        <v>42489</v>
      </c>
      <c r="D626" s="212"/>
      <c r="E626" s="35">
        <v>42489</v>
      </c>
      <c r="F626" s="144" t="s">
        <v>1467</v>
      </c>
      <c r="G626" s="191"/>
      <c r="H626" s="198" t="s">
        <v>831</v>
      </c>
      <c r="I626" s="186">
        <v>690</v>
      </c>
      <c r="J626" s="186">
        <v>15000</v>
      </c>
      <c r="K626" s="185"/>
      <c r="L626" s="186"/>
      <c r="M626" s="36">
        <f>ROUND(I626*J626,0)</f>
        <v>10350000</v>
      </c>
      <c r="N626" s="37" t="s">
        <v>1443</v>
      </c>
      <c r="O626" s="37" t="s">
        <v>8</v>
      </c>
      <c r="P626" s="47" t="str">
        <f>IF(AND('331-CT'!$F$5=TH!H626,OR(N626="331",O626="331")),"x","")</f>
        <v/>
      </c>
      <c r="Q626" s="47" t="str">
        <f>IF(AND(B626='111'!$L$11,OR($N626=$Q$7,$O626=$Q$7)),"x","")</f>
        <v/>
      </c>
      <c r="R626" s="47" t="str">
        <f>IF(AND($N626=$Q$7,$B626&lt;'111'!$L$11),"x","")</f>
        <v/>
      </c>
      <c r="S626" s="47" t="str">
        <f>IF(AND($O626=$Q$7,$B626&lt;'111'!$L$11),"x","")</f>
        <v/>
      </c>
    </row>
    <row r="627" spans="1:19" ht="15.75" customHeight="1">
      <c r="A627" s="152" t="str">
        <f>IF(B627&lt;&gt;"",IF(AND(B627='IN-TC'!$S$4,OR(TH!N627="1111",TH!O627="1111")),TH!D627,""),"")</f>
        <v/>
      </c>
      <c r="B627" s="34">
        <f t="shared" si="21"/>
        <v>4</v>
      </c>
      <c r="C627" s="35">
        <f t="shared" si="22"/>
        <v>42489</v>
      </c>
      <c r="D627" s="212"/>
      <c r="E627" s="35">
        <v>42489</v>
      </c>
      <c r="F627" s="144" t="s">
        <v>1467</v>
      </c>
      <c r="G627" s="191"/>
      <c r="H627" s="198" t="s">
        <v>831</v>
      </c>
      <c r="I627" s="186">
        <v>71</v>
      </c>
      <c r="J627" s="186">
        <v>35000</v>
      </c>
      <c r="K627" s="185"/>
      <c r="L627" s="186"/>
      <c r="M627" s="36">
        <f>ROUND(I627*J627,0)</f>
        <v>2485000</v>
      </c>
      <c r="N627" s="37" t="s">
        <v>1443</v>
      </c>
      <c r="O627" s="37" t="s">
        <v>8</v>
      </c>
      <c r="P627" s="47" t="str">
        <f>IF(AND('331-CT'!$F$5=TH!H627,OR(N627="331",O627="331")),"x","")</f>
        <v/>
      </c>
      <c r="Q627" s="47" t="str">
        <f>IF(AND(B627='111'!$L$11,OR($N627=$Q$7,$O627=$Q$7)),"x","")</f>
        <v/>
      </c>
      <c r="R627" s="47" t="str">
        <f>IF(AND($N627=$Q$7,$B627&lt;'111'!$L$11),"x","")</f>
        <v/>
      </c>
      <c r="S627" s="47" t="str">
        <f>IF(AND($O627=$Q$7,$B627&lt;'111'!$L$11),"x","")</f>
        <v/>
      </c>
    </row>
    <row r="628" spans="1:19" ht="15.75" customHeight="1">
      <c r="A628" s="152" t="str">
        <f>IF(B628&lt;&gt;"",IF(AND(B628='IN-TC'!$S$4,OR(TH!N628="1111",TH!O628="1111")),TH!D628,""),"")</f>
        <v/>
      </c>
      <c r="B628" s="34">
        <f t="shared" si="21"/>
        <v>5</v>
      </c>
      <c r="C628" s="35">
        <f t="shared" si="22"/>
        <v>42491</v>
      </c>
      <c r="D628" s="212" t="s">
        <v>860</v>
      </c>
      <c r="E628" s="35">
        <v>42491</v>
      </c>
      <c r="F628" s="144" t="s">
        <v>607</v>
      </c>
      <c r="G628" s="191" t="s">
        <v>208</v>
      </c>
      <c r="H628" s="198"/>
      <c r="I628" s="186"/>
      <c r="J628" s="186"/>
      <c r="K628" s="185"/>
      <c r="L628" s="186"/>
      <c r="M628" s="36">
        <v>940000</v>
      </c>
      <c r="N628" s="37"/>
      <c r="O628" s="37" t="s">
        <v>34</v>
      </c>
      <c r="P628" s="47" t="str">
        <f>IF(AND('331-CT'!$F$5=TH!H628,OR(N628="331",O628="331")),"x","")</f>
        <v/>
      </c>
      <c r="Q628" s="47" t="str">
        <f>IF(AND(B628='111'!$L$11,OR($N628=$Q$7,$O628=$Q$7)),"x","")</f>
        <v/>
      </c>
      <c r="R628" s="47" t="str">
        <f>IF(AND($N628=$Q$7,$B628&lt;'111'!$L$11),"x","")</f>
        <v/>
      </c>
      <c r="S628" s="47" t="str">
        <f>IF(AND($O628=$Q$7,$B628&lt;'111'!$L$11),"x","")</f>
        <v>x</v>
      </c>
    </row>
    <row r="629" spans="1:19" ht="15.75" customHeight="1">
      <c r="A629" s="152" t="str">
        <f>IF(B629&lt;&gt;"",IF(AND(B629='IN-TC'!$S$4,OR(TH!N629="1111",TH!O629="1111")),TH!D629,""),"")</f>
        <v/>
      </c>
      <c r="B629" s="34">
        <f t="shared" si="21"/>
        <v>5</v>
      </c>
      <c r="C629" s="35">
        <f t="shared" si="22"/>
        <v>42491</v>
      </c>
      <c r="D629" s="212" t="s">
        <v>861</v>
      </c>
      <c r="E629" s="35">
        <v>42491</v>
      </c>
      <c r="F629" s="144" t="s">
        <v>608</v>
      </c>
      <c r="G629" s="191" t="s">
        <v>111</v>
      </c>
      <c r="H629" s="198"/>
      <c r="I629" s="186"/>
      <c r="J629" s="186"/>
      <c r="K629" s="185"/>
      <c r="L629" s="186"/>
      <c r="M629" s="36">
        <v>995000</v>
      </c>
      <c r="N629" s="37"/>
      <c r="O629" s="37" t="s">
        <v>34</v>
      </c>
      <c r="P629" s="47" t="str">
        <f>IF(AND('331-CT'!$F$5=TH!H629,OR(N629="331",O629="331")),"x","")</f>
        <v/>
      </c>
      <c r="Q629" s="47" t="str">
        <f>IF(AND(B629='111'!$L$11,OR($N629=$Q$7,$O629=$Q$7)),"x","")</f>
        <v/>
      </c>
      <c r="R629" s="47" t="str">
        <f>IF(AND($N629=$Q$7,$B629&lt;'111'!$L$11),"x","")</f>
        <v/>
      </c>
      <c r="S629" s="47" t="str">
        <f>IF(AND($O629=$Q$7,$B629&lt;'111'!$L$11),"x","")</f>
        <v>x</v>
      </c>
    </row>
    <row r="630" spans="1:19" ht="15.75" customHeight="1">
      <c r="A630" s="152" t="str">
        <f>IF(B630&lt;&gt;"",IF(AND(B630='IN-TC'!$S$4,OR(TH!N630="1111",TH!O630="1111")),TH!D630,""),"")</f>
        <v/>
      </c>
      <c r="B630" s="34">
        <f t="shared" si="21"/>
        <v>5</v>
      </c>
      <c r="C630" s="35">
        <f t="shared" si="22"/>
        <v>42491</v>
      </c>
      <c r="D630" s="212" t="s">
        <v>862</v>
      </c>
      <c r="E630" s="35">
        <v>42491</v>
      </c>
      <c r="F630" s="144" t="s">
        <v>609</v>
      </c>
      <c r="G630" s="191" t="s">
        <v>207</v>
      </c>
      <c r="H630" s="198"/>
      <c r="I630" s="186"/>
      <c r="J630" s="186"/>
      <c r="K630" s="185"/>
      <c r="L630" s="186"/>
      <c r="M630" s="36">
        <v>5000000</v>
      </c>
      <c r="N630" s="37"/>
      <c r="O630" s="37" t="s">
        <v>34</v>
      </c>
      <c r="P630" s="47" t="str">
        <f>IF(AND('331-CT'!$F$5=TH!H630,OR(N630="331",O630="331")),"x","")</f>
        <v/>
      </c>
      <c r="Q630" s="47" t="str">
        <f>IF(AND(B630='111'!$L$11,OR($N630=$Q$7,$O630=$Q$7)),"x","")</f>
        <v/>
      </c>
      <c r="R630" s="47" t="str">
        <f>IF(AND($N630=$Q$7,$B630&lt;'111'!$L$11),"x","")</f>
        <v/>
      </c>
      <c r="S630" s="47" t="str">
        <f>IF(AND($O630=$Q$7,$B630&lt;'111'!$L$11),"x","")</f>
        <v>x</v>
      </c>
    </row>
    <row r="631" spans="1:19" ht="15.75" customHeight="1">
      <c r="A631" s="152" t="str">
        <f>IF(B631&lt;&gt;"",IF(AND(B631='IN-TC'!$S$4,OR(TH!N631="1111",TH!O631="1111")),TH!D631,""),"")</f>
        <v/>
      </c>
      <c r="B631" s="34">
        <f t="shared" si="21"/>
        <v>5</v>
      </c>
      <c r="C631" s="35">
        <f t="shared" si="22"/>
        <v>42491</v>
      </c>
      <c r="D631" s="212" t="s">
        <v>863</v>
      </c>
      <c r="E631" s="35">
        <v>42491</v>
      </c>
      <c r="F631" s="144" t="s">
        <v>610</v>
      </c>
      <c r="G631" s="191" t="s">
        <v>202</v>
      </c>
      <c r="H631" s="198"/>
      <c r="I631" s="186"/>
      <c r="J631" s="186"/>
      <c r="K631" s="185"/>
      <c r="L631" s="186"/>
      <c r="M631" s="36">
        <v>350000</v>
      </c>
      <c r="N631" s="37"/>
      <c r="O631" s="37" t="s">
        <v>34</v>
      </c>
      <c r="P631" s="47" t="str">
        <f>IF(AND('331-CT'!$F$5=TH!H631,OR(N631="331",O631="331")),"x","")</f>
        <v/>
      </c>
      <c r="Q631" s="47" t="str">
        <f>IF(AND(B631='111'!$L$11,OR($N631=$Q$7,$O631=$Q$7)),"x","")</f>
        <v/>
      </c>
      <c r="R631" s="47" t="str">
        <f>IF(AND($N631=$Q$7,$B631&lt;'111'!$L$11),"x","")</f>
        <v/>
      </c>
      <c r="S631" s="47" t="str">
        <f>IF(AND($O631=$Q$7,$B631&lt;'111'!$L$11),"x","")</f>
        <v>x</v>
      </c>
    </row>
    <row r="632" spans="1:19" ht="15.75" customHeight="1">
      <c r="A632" s="152" t="str">
        <f>IF(B632&lt;&gt;"",IF(AND(B632='IN-TC'!$S$4,OR(TH!N632="1111",TH!O632="1111")),TH!D632,""),"")</f>
        <v/>
      </c>
      <c r="B632" s="34">
        <f t="shared" si="21"/>
        <v>5</v>
      </c>
      <c r="C632" s="35">
        <f t="shared" si="22"/>
        <v>42491</v>
      </c>
      <c r="D632" s="212"/>
      <c r="E632" s="35">
        <v>42491</v>
      </c>
      <c r="F632" s="144" t="s">
        <v>1467</v>
      </c>
      <c r="G632" s="191"/>
      <c r="H632" s="198" t="s">
        <v>831</v>
      </c>
      <c r="I632" s="186">
        <v>770</v>
      </c>
      <c r="J632" s="186">
        <v>15000</v>
      </c>
      <c r="K632" s="185"/>
      <c r="L632" s="186"/>
      <c r="M632" s="36">
        <f>ROUND(I632*J632,0)</f>
        <v>11550000</v>
      </c>
      <c r="N632" s="37" t="s">
        <v>1443</v>
      </c>
      <c r="O632" s="37" t="s">
        <v>8</v>
      </c>
      <c r="P632" s="47" t="str">
        <f>IF(AND('331-CT'!$F$5=TH!H632,OR(N632="331",O632="331")),"x","")</f>
        <v/>
      </c>
      <c r="Q632" s="47" t="str">
        <f>IF(AND(B632='111'!$L$11,OR($N632=$Q$7,$O632=$Q$7)),"x","")</f>
        <v/>
      </c>
      <c r="R632" s="47" t="str">
        <f>IF(AND($N632=$Q$7,$B632&lt;'111'!$L$11),"x","")</f>
        <v/>
      </c>
      <c r="S632" s="47" t="str">
        <f>IF(AND($O632=$Q$7,$B632&lt;'111'!$L$11),"x","")</f>
        <v/>
      </c>
    </row>
    <row r="633" spans="1:19" ht="15.75" customHeight="1">
      <c r="A633" s="152" t="str">
        <f>IF(B633&lt;&gt;"",IF(AND(B633='IN-TC'!$S$4,OR(TH!N633="1111",TH!O633="1111")),TH!D633,""),"")</f>
        <v/>
      </c>
      <c r="B633" s="34">
        <f t="shared" si="21"/>
        <v>5</v>
      </c>
      <c r="C633" s="35">
        <f t="shared" si="22"/>
        <v>42492</v>
      </c>
      <c r="D633" s="212"/>
      <c r="E633" s="35">
        <v>42492</v>
      </c>
      <c r="F633" s="144" t="s">
        <v>1466</v>
      </c>
      <c r="G633" s="191"/>
      <c r="H633" s="198" t="s">
        <v>840</v>
      </c>
      <c r="I633" s="186">
        <v>3560</v>
      </c>
      <c r="J633" s="186">
        <v>15000</v>
      </c>
      <c r="K633" s="185"/>
      <c r="L633" s="186"/>
      <c r="M633" s="36">
        <f>ROUND(I633*J633,0)</f>
        <v>53400000</v>
      </c>
      <c r="N633" s="37" t="s">
        <v>1443</v>
      </c>
      <c r="O633" s="37" t="s">
        <v>8</v>
      </c>
      <c r="P633" s="47" t="str">
        <f>IF(AND('331-CT'!$F$5=TH!H633,OR(N633="331",O633="331")),"x","")</f>
        <v/>
      </c>
      <c r="Q633" s="47" t="str">
        <f>IF(AND(B633='111'!$L$11,OR($N633=$Q$7,$O633=$Q$7)),"x","")</f>
        <v/>
      </c>
      <c r="R633" s="47" t="str">
        <f>IF(AND($N633=$Q$7,$B633&lt;'111'!$L$11),"x","")</f>
        <v/>
      </c>
      <c r="S633" s="47" t="str">
        <f>IF(AND($O633=$Q$7,$B633&lt;'111'!$L$11),"x","")</f>
        <v/>
      </c>
    </row>
    <row r="634" spans="1:19" ht="15.75" customHeight="1">
      <c r="A634" s="152" t="str">
        <f>IF(B634&lt;&gt;"",IF(AND(B634='IN-TC'!$S$4,OR(TH!N634="1111",TH!O634="1111")),TH!D634,""),"")</f>
        <v/>
      </c>
      <c r="B634" s="34">
        <f t="shared" si="21"/>
        <v>5</v>
      </c>
      <c r="C634" s="35">
        <f t="shared" si="22"/>
        <v>42493</v>
      </c>
      <c r="D634" s="212" t="s">
        <v>864</v>
      </c>
      <c r="E634" s="35">
        <v>42493</v>
      </c>
      <c r="F634" s="144" t="s">
        <v>558</v>
      </c>
      <c r="G634" s="191" t="s">
        <v>204</v>
      </c>
      <c r="H634" s="198"/>
      <c r="I634" s="186"/>
      <c r="J634" s="186"/>
      <c r="K634" s="185"/>
      <c r="L634" s="186"/>
      <c r="M634" s="36">
        <v>1240000</v>
      </c>
      <c r="N634" s="37"/>
      <c r="O634" s="37" t="s">
        <v>34</v>
      </c>
      <c r="P634" s="47" t="str">
        <f>IF(AND('331-CT'!$F$5=TH!H634,OR(N634="331",O634="331")),"x","")</f>
        <v/>
      </c>
      <c r="Q634" s="47" t="str">
        <f>IF(AND(B634='111'!$L$11,OR($N634=$Q$7,$O634=$Q$7)),"x","")</f>
        <v/>
      </c>
      <c r="R634" s="47" t="str">
        <f>IF(AND($N634=$Q$7,$B634&lt;'111'!$L$11),"x","")</f>
        <v/>
      </c>
      <c r="S634" s="47" t="str">
        <f>IF(AND($O634=$Q$7,$B634&lt;'111'!$L$11),"x","")</f>
        <v>x</v>
      </c>
    </row>
    <row r="635" spans="1:19" ht="15.75" customHeight="1">
      <c r="A635" s="152" t="str">
        <f>IF(B635&lt;&gt;"",IF(AND(B635='IN-TC'!$S$4,OR(TH!N635="1111",TH!O635="1111")),TH!D635,""),"")</f>
        <v/>
      </c>
      <c r="B635" s="34">
        <f t="shared" si="21"/>
        <v>5</v>
      </c>
      <c r="C635" s="35">
        <f t="shared" si="22"/>
        <v>42493</v>
      </c>
      <c r="D635" s="212" t="s">
        <v>865</v>
      </c>
      <c r="E635" s="35">
        <v>42493</v>
      </c>
      <c r="F635" s="144" t="s">
        <v>611</v>
      </c>
      <c r="G635" s="191" t="s">
        <v>110</v>
      </c>
      <c r="H635" s="198"/>
      <c r="I635" s="186"/>
      <c r="J635" s="186"/>
      <c r="K635" s="185"/>
      <c r="L635" s="186"/>
      <c r="M635" s="36">
        <v>1000000</v>
      </c>
      <c r="N635" s="37"/>
      <c r="O635" s="37" t="s">
        <v>34</v>
      </c>
      <c r="P635" s="47" t="str">
        <f>IF(AND('331-CT'!$F$5=TH!H635,OR(N635="331",O635="331")),"x","")</f>
        <v/>
      </c>
      <c r="Q635" s="47" t="str">
        <f>IF(AND(B635='111'!$L$11,OR($N635=$Q$7,$O635=$Q$7)),"x","")</f>
        <v/>
      </c>
      <c r="R635" s="47" t="str">
        <f>IF(AND($N635=$Q$7,$B635&lt;'111'!$L$11),"x","")</f>
        <v/>
      </c>
      <c r="S635" s="47" t="str">
        <f>IF(AND($O635=$Q$7,$B635&lt;'111'!$L$11),"x","")</f>
        <v>x</v>
      </c>
    </row>
    <row r="636" spans="1:19" ht="15.75" customHeight="1">
      <c r="A636" s="152" t="str">
        <f>IF(B636&lt;&gt;"",IF(AND(B636='IN-TC'!$S$4,OR(TH!N636="1111",TH!O636="1111")),TH!D636,""),"")</f>
        <v/>
      </c>
      <c r="B636" s="34">
        <f t="shared" si="21"/>
        <v>5</v>
      </c>
      <c r="C636" s="35">
        <f t="shared" si="22"/>
        <v>42494</v>
      </c>
      <c r="D636" s="212" t="s">
        <v>866</v>
      </c>
      <c r="E636" s="35">
        <v>42494</v>
      </c>
      <c r="F636" s="144" t="s">
        <v>612</v>
      </c>
      <c r="G636" s="191" t="s">
        <v>203</v>
      </c>
      <c r="H636" s="198" t="s">
        <v>1416</v>
      </c>
      <c r="I636" s="186"/>
      <c r="J636" s="186"/>
      <c r="K636" s="185"/>
      <c r="L636" s="186"/>
      <c r="M636" s="36">
        <v>10011000</v>
      </c>
      <c r="N636" s="37" t="s">
        <v>814</v>
      </c>
      <c r="O636" s="37" t="s">
        <v>34</v>
      </c>
      <c r="P636" s="47" t="str">
        <f>IF(AND('331-CT'!$F$5=TH!H636,OR(N636="331",O636="331")),"x","")</f>
        <v/>
      </c>
      <c r="Q636" s="47" t="str">
        <f>IF(AND(B636='111'!$L$11,OR($N636=$Q$7,$O636=$Q$7)),"x","")</f>
        <v/>
      </c>
      <c r="R636" s="47" t="str">
        <f>IF(AND($N636=$Q$7,$B636&lt;'111'!$L$11),"x","")</f>
        <v/>
      </c>
      <c r="S636" s="47" t="str">
        <f>IF(AND($O636=$Q$7,$B636&lt;'111'!$L$11),"x","")</f>
        <v>x</v>
      </c>
    </row>
    <row r="637" spans="1:19" ht="15.75" customHeight="1">
      <c r="A637" s="152" t="str">
        <f>IF(B637&lt;&gt;"",IF(AND(B637='IN-TC'!$S$4,OR(TH!N637="1111",TH!O637="1111")),TH!D637,""),"")</f>
        <v/>
      </c>
      <c r="B637" s="34">
        <f t="shared" si="21"/>
        <v>5</v>
      </c>
      <c r="C637" s="35">
        <f t="shared" si="22"/>
        <v>42494</v>
      </c>
      <c r="D637" s="212" t="s">
        <v>867</v>
      </c>
      <c r="E637" s="35">
        <v>42494</v>
      </c>
      <c r="F637" s="144" t="s">
        <v>1382</v>
      </c>
      <c r="G637" s="191" t="s">
        <v>203</v>
      </c>
      <c r="H637" s="198" t="s">
        <v>1067</v>
      </c>
      <c r="I637" s="186"/>
      <c r="J637" s="186"/>
      <c r="K637" s="185"/>
      <c r="L637" s="186"/>
      <c r="M637" s="36">
        <v>10517000</v>
      </c>
      <c r="N637" s="37" t="s">
        <v>814</v>
      </c>
      <c r="O637" s="37" t="s">
        <v>34</v>
      </c>
      <c r="P637" s="47" t="str">
        <f>IF(AND('331-CT'!$F$5=TH!H637,OR(N637="331",O637="331")),"x","")</f>
        <v/>
      </c>
      <c r="Q637" s="47" t="str">
        <f>IF(AND(B637='111'!$L$11,OR($N637=$Q$7,$O637=$Q$7)),"x","")</f>
        <v/>
      </c>
      <c r="R637" s="47" t="str">
        <f>IF(AND($N637=$Q$7,$B637&lt;'111'!$L$11),"x","")</f>
        <v/>
      </c>
      <c r="S637" s="47" t="str">
        <f>IF(AND($O637=$Q$7,$B637&lt;'111'!$L$11),"x","")</f>
        <v>x</v>
      </c>
    </row>
    <row r="638" spans="1:19" ht="15.75" customHeight="1">
      <c r="A638" s="152" t="str">
        <f>IF(B638&lt;&gt;"",IF(AND(B638='IN-TC'!$S$4,OR(TH!N638="1111",TH!O638="1111")),TH!D638,""),"")</f>
        <v/>
      </c>
      <c r="B638" s="34">
        <f t="shared" si="21"/>
        <v>5</v>
      </c>
      <c r="C638" s="35">
        <f t="shared" si="22"/>
        <v>42494</v>
      </c>
      <c r="D638" s="212" t="s">
        <v>868</v>
      </c>
      <c r="E638" s="35">
        <v>42494</v>
      </c>
      <c r="F638" s="144" t="s">
        <v>434</v>
      </c>
      <c r="G638" s="191" t="s">
        <v>104</v>
      </c>
      <c r="H638" s="198"/>
      <c r="I638" s="186"/>
      <c r="J638" s="186"/>
      <c r="K638" s="185"/>
      <c r="L638" s="186"/>
      <c r="M638" s="36">
        <v>31000000</v>
      </c>
      <c r="N638" s="37"/>
      <c r="O638" s="37" t="s">
        <v>34</v>
      </c>
      <c r="P638" s="47" t="str">
        <f>IF(AND('331-CT'!$F$5=TH!H638,OR(N638="331",O638="331")),"x","")</f>
        <v/>
      </c>
      <c r="Q638" s="47" t="str">
        <f>IF(AND(B638='111'!$L$11,OR($N638=$Q$7,$O638=$Q$7)),"x","")</f>
        <v/>
      </c>
      <c r="R638" s="47" t="str">
        <f>IF(AND($N638=$Q$7,$B638&lt;'111'!$L$11),"x","")</f>
        <v/>
      </c>
      <c r="S638" s="47" t="str">
        <f>IF(AND($O638=$Q$7,$B638&lt;'111'!$L$11),"x","")</f>
        <v>x</v>
      </c>
    </row>
    <row r="639" spans="1:19" ht="15.75" customHeight="1">
      <c r="A639" s="152" t="str">
        <f>IF(B639&lt;&gt;"",IF(AND(B639='IN-TC'!$S$4,OR(TH!N639="1111",TH!O639="1111")),TH!D639,""),"")</f>
        <v/>
      </c>
      <c r="B639" s="34">
        <f t="shared" si="21"/>
        <v>5</v>
      </c>
      <c r="C639" s="35">
        <f t="shared" si="22"/>
        <v>42494</v>
      </c>
      <c r="D639" s="212" t="s">
        <v>869</v>
      </c>
      <c r="E639" s="35">
        <v>42494</v>
      </c>
      <c r="F639" s="144" t="s">
        <v>613</v>
      </c>
      <c r="G639" s="191" t="s">
        <v>207</v>
      </c>
      <c r="H639" s="198"/>
      <c r="I639" s="186"/>
      <c r="J639" s="186"/>
      <c r="K639" s="185"/>
      <c r="L639" s="186"/>
      <c r="M639" s="36">
        <v>1220000</v>
      </c>
      <c r="N639" s="37"/>
      <c r="O639" s="37" t="s">
        <v>34</v>
      </c>
      <c r="P639" s="47" t="str">
        <f>IF(AND('331-CT'!$F$5=TH!H639,OR(N639="331",O639="331")),"x","")</f>
        <v/>
      </c>
      <c r="Q639" s="47" t="str">
        <f>IF(AND(B639='111'!$L$11,OR($N639=$Q$7,$O639=$Q$7)),"x","")</f>
        <v/>
      </c>
      <c r="R639" s="47" t="str">
        <f>IF(AND($N639=$Q$7,$B639&lt;'111'!$L$11),"x","")</f>
        <v/>
      </c>
      <c r="S639" s="47" t="str">
        <f>IF(AND($O639=$Q$7,$B639&lt;'111'!$L$11),"x","")</f>
        <v>x</v>
      </c>
    </row>
    <row r="640" spans="1:19" ht="15.75" customHeight="1">
      <c r="A640" s="152" t="str">
        <f>IF(B640&lt;&gt;"",IF(AND(B640='IN-TC'!$S$4,OR(TH!N640="1111",TH!O640="1111")),TH!D640,""),"")</f>
        <v/>
      </c>
      <c r="B640" s="34">
        <f t="shared" si="21"/>
        <v>5</v>
      </c>
      <c r="C640" s="35">
        <f t="shared" si="22"/>
        <v>42494</v>
      </c>
      <c r="D640" s="212"/>
      <c r="E640" s="35">
        <v>42494</v>
      </c>
      <c r="F640" s="144" t="s">
        <v>1510</v>
      </c>
      <c r="G640" s="191" t="s">
        <v>1454</v>
      </c>
      <c r="H640" s="198" t="s">
        <v>820</v>
      </c>
      <c r="I640" s="186">
        <v>1600</v>
      </c>
      <c r="J640" s="186">
        <v>210000</v>
      </c>
      <c r="K640" s="185"/>
      <c r="L640" s="186"/>
      <c r="M640" s="36">
        <f>ROUND(I640*J640,-3)</f>
        <v>336000000</v>
      </c>
      <c r="N640" s="37" t="s">
        <v>1443</v>
      </c>
      <c r="O640" s="37" t="s">
        <v>8</v>
      </c>
      <c r="P640" s="47" t="str">
        <f>IF(AND('331-CT'!$F$5=TH!H640,OR(N640="331",O640="331")),"x","")</f>
        <v/>
      </c>
      <c r="Q640" s="47" t="str">
        <f>IF(AND(B640='111'!$L$11,OR($N640=$Q$7,$O640=$Q$7)),"x","")</f>
        <v/>
      </c>
      <c r="R640" s="47" t="str">
        <f>IF(AND($N640=$Q$7,$B640&lt;'111'!$L$11),"x","")</f>
        <v/>
      </c>
      <c r="S640" s="47" t="str">
        <f>IF(AND($O640=$Q$7,$B640&lt;'111'!$L$11),"x","")</f>
        <v/>
      </c>
    </row>
    <row r="641" spans="1:19" ht="15.75" customHeight="1">
      <c r="A641" s="152" t="str">
        <f>IF(B641&lt;&gt;"",IF(AND(B641='IN-TC'!$S$4,OR(TH!N641="1111",TH!O641="1111")),TH!D641,""),"")</f>
        <v/>
      </c>
      <c r="B641" s="34">
        <f t="shared" si="21"/>
        <v>5</v>
      </c>
      <c r="C641" s="35">
        <f t="shared" si="22"/>
        <v>42495</v>
      </c>
      <c r="D641" s="212" t="s">
        <v>934</v>
      </c>
      <c r="E641" s="35">
        <v>42495</v>
      </c>
      <c r="F641" s="144" t="s">
        <v>170</v>
      </c>
      <c r="G641" s="191" t="s">
        <v>105</v>
      </c>
      <c r="H641" s="198" t="s">
        <v>1418</v>
      </c>
      <c r="I641" s="186"/>
      <c r="J641" s="186"/>
      <c r="K641" s="185"/>
      <c r="L641" s="186"/>
      <c r="M641" s="36">
        <v>500000000</v>
      </c>
      <c r="N641" s="37" t="s">
        <v>34</v>
      </c>
      <c r="O641" s="37" t="s">
        <v>812</v>
      </c>
      <c r="P641" s="47" t="str">
        <f>IF(AND('331-CT'!$F$5=TH!H641,OR(N641="331",O641="331")),"x","")</f>
        <v/>
      </c>
      <c r="Q641" s="47" t="str">
        <f>IF(AND(B641='111'!$L$11,OR($N641=$Q$7,$O641=$Q$7)),"x","")</f>
        <v/>
      </c>
      <c r="R641" s="47" t="str">
        <f>IF(AND($N641=$Q$7,$B641&lt;'111'!$L$11),"x","")</f>
        <v>x</v>
      </c>
      <c r="S641" s="47" t="str">
        <f>IF(AND($O641=$Q$7,$B641&lt;'111'!$L$11),"x","")</f>
        <v/>
      </c>
    </row>
    <row r="642" spans="1:19" ht="15.75" customHeight="1">
      <c r="A642" s="152" t="str">
        <f>IF(B642&lt;&gt;"",IF(AND(B642='IN-TC'!$S$4,OR(TH!N642="1111",TH!O642="1111")),TH!D642,""),"")</f>
        <v/>
      </c>
      <c r="B642" s="34">
        <f t="shared" si="21"/>
        <v>5</v>
      </c>
      <c r="C642" s="35">
        <f t="shared" si="22"/>
        <v>42495</v>
      </c>
      <c r="D642" s="212" t="s">
        <v>870</v>
      </c>
      <c r="E642" s="35">
        <v>42495</v>
      </c>
      <c r="F642" s="144" t="s">
        <v>614</v>
      </c>
      <c r="G642" s="191" t="s">
        <v>204</v>
      </c>
      <c r="H642" s="198"/>
      <c r="I642" s="186"/>
      <c r="J642" s="186"/>
      <c r="K642" s="185"/>
      <c r="L642" s="186"/>
      <c r="M642" s="36">
        <v>200000000</v>
      </c>
      <c r="N642" s="37"/>
      <c r="O642" s="37" t="s">
        <v>34</v>
      </c>
      <c r="P642" s="47" t="str">
        <f>IF(AND('331-CT'!$F$5=TH!H642,OR(N642="331",O642="331")),"x","")</f>
        <v/>
      </c>
      <c r="Q642" s="47" t="str">
        <f>IF(AND(B642='111'!$L$11,OR($N642=$Q$7,$O642=$Q$7)),"x","")</f>
        <v/>
      </c>
      <c r="R642" s="47" t="str">
        <f>IF(AND($N642=$Q$7,$B642&lt;'111'!$L$11),"x","")</f>
        <v/>
      </c>
      <c r="S642" s="47" t="str">
        <f>IF(AND($O642=$Q$7,$B642&lt;'111'!$L$11),"x","")</f>
        <v>x</v>
      </c>
    </row>
    <row r="643" spans="1:19" ht="15.75" customHeight="1">
      <c r="A643" s="152" t="str">
        <f>IF(B643&lt;&gt;"",IF(AND(B643='IN-TC'!$S$4,OR(TH!N643="1111",TH!O643="1111")),TH!D643,""),"")</f>
        <v/>
      </c>
      <c r="B643" s="34">
        <f t="shared" si="21"/>
        <v>5</v>
      </c>
      <c r="C643" s="35">
        <f t="shared" si="22"/>
        <v>42495</v>
      </c>
      <c r="D643" s="212" t="s">
        <v>871</v>
      </c>
      <c r="E643" s="35">
        <v>42495</v>
      </c>
      <c r="F643" s="144" t="s">
        <v>615</v>
      </c>
      <c r="G643" s="191" t="s">
        <v>203</v>
      </c>
      <c r="H643" s="198" t="s">
        <v>1413</v>
      </c>
      <c r="I643" s="186"/>
      <c r="J643" s="186"/>
      <c r="K643" s="185"/>
      <c r="L643" s="186"/>
      <c r="M643" s="36">
        <v>22500000</v>
      </c>
      <c r="N643" s="37" t="s">
        <v>814</v>
      </c>
      <c r="O643" s="37" t="s">
        <v>34</v>
      </c>
      <c r="P643" s="47" t="str">
        <f>IF(AND('331-CT'!$F$5=TH!H643,OR(N643="331",O643="331")),"x","")</f>
        <v/>
      </c>
      <c r="Q643" s="47" t="str">
        <f>IF(AND(B643='111'!$L$11,OR($N643=$Q$7,$O643=$Q$7)),"x","")</f>
        <v/>
      </c>
      <c r="R643" s="47" t="str">
        <f>IF(AND($N643=$Q$7,$B643&lt;'111'!$L$11),"x","")</f>
        <v/>
      </c>
      <c r="S643" s="47" t="str">
        <f>IF(AND($O643=$Q$7,$B643&lt;'111'!$L$11),"x","")</f>
        <v>x</v>
      </c>
    </row>
    <row r="644" spans="1:19" ht="15.75" customHeight="1">
      <c r="A644" s="152" t="str">
        <f>IF(B644&lt;&gt;"",IF(AND(B644='IN-TC'!$S$4,OR(TH!N644="1111",TH!O644="1111")),TH!D644,""),"")</f>
        <v/>
      </c>
      <c r="B644" s="34">
        <f t="shared" si="21"/>
        <v>5</v>
      </c>
      <c r="C644" s="35">
        <f t="shared" si="22"/>
        <v>42495</v>
      </c>
      <c r="D644" s="212" t="s">
        <v>872</v>
      </c>
      <c r="E644" s="35">
        <v>42495</v>
      </c>
      <c r="F644" s="144" t="s">
        <v>1383</v>
      </c>
      <c r="G644" s="191" t="s">
        <v>203</v>
      </c>
      <c r="H644" s="198" t="s">
        <v>1438</v>
      </c>
      <c r="I644" s="186"/>
      <c r="J644" s="186"/>
      <c r="K644" s="185"/>
      <c r="L644" s="186"/>
      <c r="M644" s="36">
        <v>6017000</v>
      </c>
      <c r="N644" s="37" t="s">
        <v>814</v>
      </c>
      <c r="O644" s="37" t="s">
        <v>34</v>
      </c>
      <c r="P644" s="47" t="str">
        <f>IF(AND('331-CT'!$F$5=TH!H644,OR(N644="331",O644="331")),"x","")</f>
        <v/>
      </c>
      <c r="Q644" s="47" t="str">
        <f>IF(AND(B644='111'!$L$11,OR($N644=$Q$7,$O644=$Q$7)),"x","")</f>
        <v/>
      </c>
      <c r="R644" s="47" t="str">
        <f>IF(AND($N644=$Q$7,$B644&lt;'111'!$L$11),"x","")</f>
        <v/>
      </c>
      <c r="S644" s="47" t="str">
        <f>IF(AND($O644=$Q$7,$B644&lt;'111'!$L$11),"x","")</f>
        <v>x</v>
      </c>
    </row>
    <row r="645" spans="1:19" ht="15.75" customHeight="1">
      <c r="A645" s="152" t="str">
        <f>IF(B645&lt;&gt;"",IF(AND(B645='IN-TC'!$S$4,OR(TH!N645="1111",TH!O645="1111")),TH!D645,""),"")</f>
        <v/>
      </c>
      <c r="B645" s="34">
        <f t="shared" si="21"/>
        <v>5</v>
      </c>
      <c r="C645" s="35">
        <f t="shared" si="22"/>
        <v>42495</v>
      </c>
      <c r="D645" s="212" t="s">
        <v>873</v>
      </c>
      <c r="E645" s="35">
        <v>42495</v>
      </c>
      <c r="F645" s="144" t="s">
        <v>569</v>
      </c>
      <c r="G645" s="191" t="s">
        <v>206</v>
      </c>
      <c r="H645" s="198" t="s">
        <v>815</v>
      </c>
      <c r="I645" s="186"/>
      <c r="J645" s="186"/>
      <c r="K645" s="185"/>
      <c r="L645" s="186"/>
      <c r="M645" s="36">
        <v>100000000</v>
      </c>
      <c r="N645" s="37" t="s">
        <v>8</v>
      </c>
      <c r="O645" s="37" t="s">
        <v>34</v>
      </c>
      <c r="P645" s="47" t="str">
        <f>IF(AND('331-CT'!$F$5=TH!H645,OR(N645="331",O645="331")),"x","")</f>
        <v/>
      </c>
      <c r="Q645" s="47" t="str">
        <f>IF(AND(B645='111'!$L$11,OR($N645=$Q$7,$O645=$Q$7)),"x","")</f>
        <v/>
      </c>
      <c r="R645" s="47" t="str">
        <f>IF(AND($N645=$Q$7,$B645&lt;'111'!$L$11),"x","")</f>
        <v/>
      </c>
      <c r="S645" s="47" t="str">
        <f>IF(AND($O645=$Q$7,$B645&lt;'111'!$L$11),"x","")</f>
        <v>x</v>
      </c>
    </row>
    <row r="646" spans="1:19" ht="15.75" customHeight="1">
      <c r="A646" s="152" t="str">
        <f>IF(B646&lt;&gt;"",IF(AND(B646='IN-TC'!$S$4,OR(TH!N646="1111",TH!O646="1111")),TH!D646,""),"")</f>
        <v/>
      </c>
      <c r="B646" s="34">
        <f t="shared" si="21"/>
        <v>5</v>
      </c>
      <c r="C646" s="35">
        <f t="shared" si="22"/>
        <v>42495</v>
      </c>
      <c r="D646" s="212" t="s">
        <v>874</v>
      </c>
      <c r="E646" s="35">
        <v>42495</v>
      </c>
      <c r="F646" s="144" t="s">
        <v>616</v>
      </c>
      <c r="G646" s="191" t="s">
        <v>220</v>
      </c>
      <c r="H646" s="198"/>
      <c r="I646" s="186"/>
      <c r="J646" s="186"/>
      <c r="K646" s="185"/>
      <c r="L646" s="186"/>
      <c r="M646" s="36">
        <v>103936000</v>
      </c>
      <c r="N646" s="37"/>
      <c r="O646" s="37" t="s">
        <v>34</v>
      </c>
      <c r="P646" s="47" t="str">
        <f>IF(AND('331-CT'!$F$5=TH!H646,OR(N646="331",O646="331")),"x","")</f>
        <v/>
      </c>
      <c r="Q646" s="47" t="str">
        <f>IF(AND(B646='111'!$L$11,OR($N646=$Q$7,$O646=$Q$7)),"x","")</f>
        <v/>
      </c>
      <c r="R646" s="47" t="str">
        <f>IF(AND($N646=$Q$7,$B646&lt;'111'!$L$11),"x","")</f>
        <v/>
      </c>
      <c r="S646" s="47" t="str">
        <f>IF(AND($O646=$Q$7,$B646&lt;'111'!$L$11),"x","")</f>
        <v>x</v>
      </c>
    </row>
    <row r="647" spans="1:19" ht="15.75" customHeight="1">
      <c r="A647" s="152" t="str">
        <f>IF(B647&lt;&gt;"",IF(AND(B647='IN-TC'!$S$4,OR(TH!N647="1111",TH!O647="1111")),TH!D647,""),"")</f>
        <v/>
      </c>
      <c r="B647" s="34">
        <f t="shared" si="21"/>
        <v>5</v>
      </c>
      <c r="C647" s="35">
        <f t="shared" si="22"/>
        <v>42495</v>
      </c>
      <c r="D647" s="212"/>
      <c r="E647" s="35">
        <v>42495</v>
      </c>
      <c r="F647" s="144" t="s">
        <v>1462</v>
      </c>
      <c r="G647" s="191"/>
      <c r="H647" s="198" t="s">
        <v>815</v>
      </c>
      <c r="I647" s="186">
        <v>923</v>
      </c>
      <c r="J647" s="186">
        <v>35000</v>
      </c>
      <c r="K647" s="185"/>
      <c r="L647" s="186"/>
      <c r="M647" s="36">
        <f t="shared" ref="M647:M653" si="23">ROUND(I647*J647,0)</f>
        <v>32305000</v>
      </c>
      <c r="N647" s="37" t="s">
        <v>1443</v>
      </c>
      <c r="O647" s="37" t="s">
        <v>8</v>
      </c>
      <c r="P647" s="47" t="str">
        <f>IF(AND('331-CT'!$F$5=TH!H647,OR(N647="331",O647="331")),"x","")</f>
        <v/>
      </c>
      <c r="Q647" s="47" t="str">
        <f>IF(AND(B647='111'!$L$11,OR($N647=$Q$7,$O647=$Q$7)),"x","")</f>
        <v/>
      </c>
      <c r="R647" s="47" t="str">
        <f>IF(AND($N647=$Q$7,$B647&lt;'111'!$L$11),"x","")</f>
        <v/>
      </c>
      <c r="S647" s="47" t="str">
        <f>IF(AND($O647=$Q$7,$B647&lt;'111'!$L$11),"x","")</f>
        <v/>
      </c>
    </row>
    <row r="648" spans="1:19" ht="15.75" customHeight="1">
      <c r="A648" s="152" t="str">
        <f>IF(B648&lt;&gt;"",IF(AND(B648='IN-TC'!$S$4,OR(TH!N648="1111",TH!O648="1111")),TH!D648,""),"")</f>
        <v/>
      </c>
      <c r="B648" s="34">
        <f t="shared" si="21"/>
        <v>5</v>
      </c>
      <c r="C648" s="35">
        <f t="shared" si="22"/>
        <v>42495</v>
      </c>
      <c r="D648" s="212"/>
      <c r="E648" s="35">
        <v>42495</v>
      </c>
      <c r="F648" s="144" t="s">
        <v>1461</v>
      </c>
      <c r="G648" s="191"/>
      <c r="H648" s="198" t="s">
        <v>815</v>
      </c>
      <c r="I648" s="186">
        <v>471</v>
      </c>
      <c r="J648" s="186">
        <v>36000</v>
      </c>
      <c r="K648" s="185"/>
      <c r="L648" s="186"/>
      <c r="M648" s="36">
        <f t="shared" si="23"/>
        <v>16956000</v>
      </c>
      <c r="N648" s="37" t="s">
        <v>1443</v>
      </c>
      <c r="O648" s="37" t="s">
        <v>8</v>
      </c>
      <c r="P648" s="47" t="str">
        <f>IF(AND('331-CT'!$F$5=TH!H648,OR(N648="331",O648="331")),"x","")</f>
        <v/>
      </c>
      <c r="Q648" s="47" t="str">
        <f>IF(AND(B648='111'!$L$11,OR($N648=$Q$7,$O648=$Q$7)),"x","")</f>
        <v/>
      </c>
      <c r="R648" s="47" t="str">
        <f>IF(AND($N648=$Q$7,$B648&lt;'111'!$L$11),"x","")</f>
        <v/>
      </c>
      <c r="S648" s="47" t="str">
        <f>IF(AND($O648=$Q$7,$B648&lt;'111'!$L$11),"x","")</f>
        <v/>
      </c>
    </row>
    <row r="649" spans="1:19" ht="15.75" customHeight="1">
      <c r="A649" s="152" t="str">
        <f>IF(B649&lt;&gt;"",IF(AND(B649='IN-TC'!$S$4,OR(TH!N649="1111",TH!O649="1111")),TH!D649,""),"")</f>
        <v/>
      </c>
      <c r="B649" s="34">
        <f t="shared" si="21"/>
        <v>5</v>
      </c>
      <c r="C649" s="35">
        <f t="shared" si="22"/>
        <v>42495</v>
      </c>
      <c r="D649" s="212"/>
      <c r="E649" s="35">
        <v>42495</v>
      </c>
      <c r="F649" s="144" t="s">
        <v>1465</v>
      </c>
      <c r="G649" s="191"/>
      <c r="H649" s="198" t="s">
        <v>815</v>
      </c>
      <c r="I649" s="186">
        <v>160</v>
      </c>
      <c r="J649" s="186">
        <v>32000</v>
      </c>
      <c r="K649" s="185"/>
      <c r="L649" s="186"/>
      <c r="M649" s="36">
        <f t="shared" si="23"/>
        <v>5120000</v>
      </c>
      <c r="N649" s="37" t="s">
        <v>1443</v>
      </c>
      <c r="O649" s="37" t="s">
        <v>8</v>
      </c>
      <c r="P649" s="47" t="str">
        <f>IF(AND('331-CT'!$F$5=TH!H649,OR(N649="331",O649="331")),"x","")</f>
        <v/>
      </c>
      <c r="Q649" s="47" t="str">
        <f>IF(AND(B649='111'!$L$11,OR($N649=$Q$7,$O649=$Q$7)),"x","")</f>
        <v/>
      </c>
      <c r="R649" s="47" t="str">
        <f>IF(AND($N649=$Q$7,$B649&lt;'111'!$L$11),"x","")</f>
        <v/>
      </c>
      <c r="S649" s="47" t="str">
        <f>IF(AND($O649=$Q$7,$B649&lt;'111'!$L$11),"x","")</f>
        <v/>
      </c>
    </row>
    <row r="650" spans="1:19" ht="15.75" customHeight="1">
      <c r="A650" s="152" t="str">
        <f>IF(B650&lt;&gt;"",IF(AND(B650='IN-TC'!$S$4,OR(TH!N650="1111",TH!O650="1111")),TH!D650,""),"")</f>
        <v/>
      </c>
      <c r="B650" s="34">
        <f t="shared" si="21"/>
        <v>5</v>
      </c>
      <c r="C650" s="35">
        <f t="shared" si="22"/>
        <v>42495</v>
      </c>
      <c r="D650" s="212"/>
      <c r="E650" s="35">
        <v>42495</v>
      </c>
      <c r="F650" s="144" t="s">
        <v>1467</v>
      </c>
      <c r="G650" s="191"/>
      <c r="H650" s="198" t="s">
        <v>831</v>
      </c>
      <c r="I650" s="186">
        <v>1090</v>
      </c>
      <c r="J650" s="186">
        <v>15000</v>
      </c>
      <c r="K650" s="185"/>
      <c r="L650" s="186"/>
      <c r="M650" s="36">
        <f t="shared" si="23"/>
        <v>16350000</v>
      </c>
      <c r="N650" s="37" t="s">
        <v>1443</v>
      </c>
      <c r="O650" s="37" t="s">
        <v>8</v>
      </c>
      <c r="P650" s="47" t="str">
        <f>IF(AND('331-CT'!$F$5=TH!H650,OR(N650="331",O650="331")),"x","")</f>
        <v/>
      </c>
      <c r="Q650" s="47" t="str">
        <f>IF(AND(B650='111'!$L$11,OR($N650=$Q$7,$O650=$Q$7)),"x","")</f>
        <v/>
      </c>
      <c r="R650" s="47" t="str">
        <f>IF(AND($N650=$Q$7,$B650&lt;'111'!$L$11),"x","")</f>
        <v/>
      </c>
      <c r="S650" s="47" t="str">
        <f>IF(AND($O650=$Q$7,$B650&lt;'111'!$L$11),"x","")</f>
        <v/>
      </c>
    </row>
    <row r="651" spans="1:19" ht="15.75" customHeight="1">
      <c r="A651" s="152" t="str">
        <f>IF(B651&lt;&gt;"",IF(AND(B651='IN-TC'!$S$4,OR(TH!N651="1111",TH!O651="1111")),TH!D651,""),"")</f>
        <v/>
      </c>
      <c r="B651" s="34">
        <f t="shared" si="21"/>
        <v>5</v>
      </c>
      <c r="C651" s="35">
        <f t="shared" si="22"/>
        <v>42495</v>
      </c>
      <c r="D651" s="212"/>
      <c r="E651" s="35">
        <v>42495</v>
      </c>
      <c r="F651" s="144" t="s">
        <v>1489</v>
      </c>
      <c r="G651" s="191" t="s">
        <v>1454</v>
      </c>
      <c r="H651" s="198" t="s">
        <v>823</v>
      </c>
      <c r="I651" s="186">
        <v>260</v>
      </c>
      <c r="J651" s="186">
        <v>54000</v>
      </c>
      <c r="K651" s="185"/>
      <c r="L651" s="186"/>
      <c r="M651" s="36">
        <f t="shared" si="23"/>
        <v>14040000</v>
      </c>
      <c r="N651" s="37" t="s">
        <v>1443</v>
      </c>
      <c r="O651" s="37" t="s">
        <v>8</v>
      </c>
      <c r="P651" s="47" t="str">
        <f>IF(AND('331-CT'!$F$5=TH!H651,OR(N651="331",O651="331")),"x","")</f>
        <v/>
      </c>
      <c r="Q651" s="47" t="str">
        <f>IF(AND(B651='111'!$L$11,OR($N651=$Q$7,$O651=$Q$7)),"x","")</f>
        <v/>
      </c>
      <c r="R651" s="47" t="str">
        <f>IF(AND($N651=$Q$7,$B651&lt;'111'!$L$11),"x","")</f>
        <v/>
      </c>
      <c r="S651" s="47" t="str">
        <f>IF(AND($O651=$Q$7,$B651&lt;'111'!$L$11),"x","")</f>
        <v/>
      </c>
    </row>
    <row r="652" spans="1:19" ht="15.75" customHeight="1">
      <c r="A652" s="152" t="str">
        <f>IF(B652&lt;&gt;"",IF(AND(B652='IN-TC'!$S$4,OR(TH!N652="1111",TH!O652="1111")),TH!D652,""),"")</f>
        <v/>
      </c>
      <c r="B652" s="34">
        <f t="shared" si="21"/>
        <v>5</v>
      </c>
      <c r="C652" s="35">
        <f t="shared" si="22"/>
        <v>42495</v>
      </c>
      <c r="D652" s="212"/>
      <c r="E652" s="35">
        <v>42495</v>
      </c>
      <c r="F652" s="144" t="s">
        <v>1488</v>
      </c>
      <c r="G652" s="191" t="s">
        <v>1454</v>
      </c>
      <c r="H652" s="198" t="s">
        <v>823</v>
      </c>
      <c r="I652" s="186">
        <v>640</v>
      </c>
      <c r="J652" s="186">
        <v>54000</v>
      </c>
      <c r="K652" s="185"/>
      <c r="L652" s="186"/>
      <c r="M652" s="36">
        <f t="shared" si="23"/>
        <v>34560000</v>
      </c>
      <c r="N652" s="37" t="s">
        <v>1443</v>
      </c>
      <c r="O652" s="37" t="s">
        <v>8</v>
      </c>
      <c r="P652" s="47" t="str">
        <f>IF(AND('331-CT'!$F$5=TH!H652,OR(N652="331",O652="331")),"x","")</f>
        <v/>
      </c>
      <c r="Q652" s="47" t="str">
        <f>IF(AND(B652='111'!$L$11,OR($N652=$Q$7,$O652=$Q$7)),"x","")</f>
        <v/>
      </c>
      <c r="R652" s="47" t="str">
        <f>IF(AND($N652=$Q$7,$B652&lt;'111'!$L$11),"x","")</f>
        <v/>
      </c>
      <c r="S652" s="47" t="str">
        <f>IF(AND($O652=$Q$7,$B652&lt;'111'!$L$11),"x","")</f>
        <v/>
      </c>
    </row>
    <row r="653" spans="1:19" ht="15.75" customHeight="1">
      <c r="A653" s="152" t="str">
        <f>IF(B653&lt;&gt;"",IF(AND(B653='IN-TC'!$S$4,OR(TH!N653="1111",TH!O653="1111")),TH!D653,""),"")</f>
        <v/>
      </c>
      <c r="B653" s="34">
        <f t="shared" ref="B653:B716" si="24">IF(C653&lt;&gt;"",MONTH(C653),"")</f>
        <v>5</v>
      </c>
      <c r="C653" s="35">
        <f t="shared" ref="C653:C716" si="25">E653</f>
        <v>42495</v>
      </c>
      <c r="D653" s="212"/>
      <c r="E653" s="35">
        <v>42495</v>
      </c>
      <c r="F653" s="144" t="s">
        <v>1490</v>
      </c>
      <c r="G653" s="191" t="s">
        <v>1454</v>
      </c>
      <c r="H653" s="198" t="s">
        <v>823</v>
      </c>
      <c r="I653" s="186">
        <v>36</v>
      </c>
      <c r="J653" s="186">
        <v>54000</v>
      </c>
      <c r="K653" s="185"/>
      <c r="L653" s="186"/>
      <c r="M653" s="36">
        <f t="shared" si="23"/>
        <v>1944000</v>
      </c>
      <c r="N653" s="37" t="s">
        <v>8</v>
      </c>
      <c r="O653" s="37" t="s">
        <v>1443</v>
      </c>
      <c r="P653" s="47" t="str">
        <f>IF(AND('331-CT'!$F$5=TH!H653,OR(N653="331",O653="331")),"x","")</f>
        <v/>
      </c>
      <c r="Q653" s="47" t="str">
        <f>IF(AND(B653='111'!$L$11,OR($N653=$Q$7,$O653=$Q$7)),"x","")</f>
        <v/>
      </c>
      <c r="R653" s="47" t="str">
        <f>IF(AND($N653=$Q$7,$B653&lt;'111'!$L$11),"x","")</f>
        <v/>
      </c>
      <c r="S653" s="47" t="str">
        <f>IF(AND($O653=$Q$7,$B653&lt;'111'!$L$11),"x","")</f>
        <v/>
      </c>
    </row>
    <row r="654" spans="1:19" ht="15.75" customHeight="1">
      <c r="A654" s="152" t="str">
        <f>IF(B654&lt;&gt;"",IF(AND(B654='IN-TC'!$S$4,OR(TH!N654="1111",TH!O654="1111")),TH!D654,""),"")</f>
        <v/>
      </c>
      <c r="B654" s="34">
        <f t="shared" si="24"/>
        <v>5</v>
      </c>
      <c r="C654" s="35">
        <f t="shared" si="25"/>
        <v>42496</v>
      </c>
      <c r="D654" s="212" t="s">
        <v>935</v>
      </c>
      <c r="E654" s="35">
        <v>42496</v>
      </c>
      <c r="F654" s="144" t="s">
        <v>171</v>
      </c>
      <c r="G654" s="191" t="s">
        <v>110</v>
      </c>
      <c r="H654" s="198"/>
      <c r="I654" s="186"/>
      <c r="J654" s="186"/>
      <c r="K654" s="185"/>
      <c r="L654" s="186"/>
      <c r="M654" s="36">
        <v>22500000</v>
      </c>
      <c r="N654" s="37" t="s">
        <v>34</v>
      </c>
      <c r="O654" s="37"/>
      <c r="P654" s="47" t="str">
        <f>IF(AND('331-CT'!$F$5=TH!H654,OR(N654="331",O654="331")),"x","")</f>
        <v/>
      </c>
      <c r="Q654" s="47" t="str">
        <f>IF(AND(B654='111'!$L$11,OR($N654=$Q$7,$O654=$Q$7)),"x","")</f>
        <v/>
      </c>
      <c r="R654" s="47" t="str">
        <f>IF(AND($N654=$Q$7,$B654&lt;'111'!$L$11),"x","")</f>
        <v>x</v>
      </c>
      <c r="S654" s="47" t="str">
        <f>IF(AND($O654=$Q$7,$B654&lt;'111'!$L$11),"x","")</f>
        <v/>
      </c>
    </row>
    <row r="655" spans="1:19" ht="15.75" customHeight="1">
      <c r="A655" s="152" t="str">
        <f>IF(B655&lt;&gt;"",IF(AND(B655='IN-TC'!$S$4,OR(TH!N655="1111",TH!O655="1111")),TH!D655,""),"")</f>
        <v/>
      </c>
      <c r="B655" s="34">
        <f t="shared" si="24"/>
        <v>5</v>
      </c>
      <c r="C655" s="35">
        <f t="shared" si="25"/>
        <v>42496</v>
      </c>
      <c r="D655" s="212" t="s">
        <v>936</v>
      </c>
      <c r="E655" s="35">
        <v>42496</v>
      </c>
      <c r="F655" s="144" t="s">
        <v>172</v>
      </c>
      <c r="G655" s="191" t="s">
        <v>110</v>
      </c>
      <c r="H655" s="198"/>
      <c r="I655" s="186"/>
      <c r="J655" s="186"/>
      <c r="K655" s="185"/>
      <c r="L655" s="186"/>
      <c r="M655" s="36">
        <v>1000000</v>
      </c>
      <c r="N655" s="37" t="s">
        <v>34</v>
      </c>
      <c r="O655" s="37"/>
      <c r="P655" s="47" t="str">
        <f>IF(AND('331-CT'!$F$5=TH!H655,OR(N655="331",O655="331")),"x","")</f>
        <v/>
      </c>
      <c r="Q655" s="47" t="str">
        <f>IF(AND(B655='111'!$L$11,OR($N655=$Q$7,$O655=$Q$7)),"x","")</f>
        <v/>
      </c>
      <c r="R655" s="47" t="str">
        <f>IF(AND($N655=$Q$7,$B655&lt;'111'!$L$11),"x","")</f>
        <v>x</v>
      </c>
      <c r="S655" s="47" t="str">
        <f>IF(AND($O655=$Q$7,$B655&lt;'111'!$L$11),"x","")</f>
        <v/>
      </c>
    </row>
    <row r="656" spans="1:19" ht="15.75" customHeight="1">
      <c r="A656" s="152" t="str">
        <f>IF(B656&lt;&gt;"",IF(AND(B656='IN-TC'!$S$4,OR(TH!N656="1111",TH!O656="1111")),TH!D656,""),"")</f>
        <v/>
      </c>
      <c r="B656" s="34">
        <f t="shared" si="24"/>
        <v>5</v>
      </c>
      <c r="C656" s="35">
        <f t="shared" si="25"/>
        <v>42496</v>
      </c>
      <c r="D656" s="212" t="s">
        <v>875</v>
      </c>
      <c r="E656" s="35">
        <v>42496</v>
      </c>
      <c r="F656" s="144" t="s">
        <v>617</v>
      </c>
      <c r="G656" s="191" t="s">
        <v>208</v>
      </c>
      <c r="H656" s="198"/>
      <c r="I656" s="186"/>
      <c r="J656" s="186"/>
      <c r="K656" s="185"/>
      <c r="L656" s="186"/>
      <c r="M656" s="36">
        <v>2428000</v>
      </c>
      <c r="N656" s="37"/>
      <c r="O656" s="37" t="s">
        <v>34</v>
      </c>
      <c r="P656" s="47" t="str">
        <f>IF(AND('331-CT'!$F$5=TH!H656,OR(N656="331",O656="331")),"x","")</f>
        <v/>
      </c>
      <c r="Q656" s="47" t="str">
        <f>IF(AND(B656='111'!$L$11,OR($N656=$Q$7,$O656=$Q$7)),"x","")</f>
        <v/>
      </c>
      <c r="R656" s="47" t="str">
        <f>IF(AND($N656=$Q$7,$B656&lt;'111'!$L$11),"x","")</f>
        <v/>
      </c>
      <c r="S656" s="47" t="str">
        <f>IF(AND($O656=$Q$7,$B656&lt;'111'!$L$11),"x","")</f>
        <v>x</v>
      </c>
    </row>
    <row r="657" spans="1:19" ht="15.75" customHeight="1">
      <c r="A657" s="152" t="str">
        <f>IF(B657&lt;&gt;"",IF(AND(B657='IN-TC'!$S$4,OR(TH!N657="1111",TH!O657="1111")),TH!D657,""),"")</f>
        <v/>
      </c>
      <c r="B657" s="34">
        <f t="shared" si="24"/>
        <v>5</v>
      </c>
      <c r="C657" s="35">
        <f t="shared" si="25"/>
        <v>42496</v>
      </c>
      <c r="D657" s="212" t="s">
        <v>876</v>
      </c>
      <c r="E657" s="35">
        <v>42496</v>
      </c>
      <c r="F657" s="144" t="s">
        <v>618</v>
      </c>
      <c r="G657" s="191" t="s">
        <v>207</v>
      </c>
      <c r="H657" s="198"/>
      <c r="I657" s="186"/>
      <c r="J657" s="186"/>
      <c r="K657" s="185"/>
      <c r="L657" s="186"/>
      <c r="M657" s="36">
        <v>423000</v>
      </c>
      <c r="N657" s="37"/>
      <c r="O657" s="37" t="s">
        <v>34</v>
      </c>
      <c r="P657" s="47" t="str">
        <f>IF(AND('331-CT'!$F$5=TH!H657,OR(N657="331",O657="331")),"x","")</f>
        <v/>
      </c>
      <c r="Q657" s="47" t="str">
        <f>IF(AND(B657='111'!$L$11,OR($N657=$Q$7,$O657=$Q$7)),"x","")</f>
        <v/>
      </c>
      <c r="R657" s="47" t="str">
        <f>IF(AND($N657=$Q$7,$B657&lt;'111'!$L$11),"x","")</f>
        <v/>
      </c>
      <c r="S657" s="47" t="str">
        <f>IF(AND($O657=$Q$7,$B657&lt;'111'!$L$11),"x","")</f>
        <v>x</v>
      </c>
    </row>
    <row r="658" spans="1:19" ht="15.75" customHeight="1">
      <c r="A658" s="152" t="str">
        <f>IF(B658&lt;&gt;"",IF(AND(B658='IN-TC'!$S$4,OR(TH!N658="1111",TH!O658="1111")),TH!D658,""),"")</f>
        <v/>
      </c>
      <c r="B658" s="34">
        <f t="shared" si="24"/>
        <v>5</v>
      </c>
      <c r="C658" s="35">
        <f t="shared" si="25"/>
        <v>42496</v>
      </c>
      <c r="D658" s="212" t="s">
        <v>877</v>
      </c>
      <c r="E658" s="35">
        <v>42496</v>
      </c>
      <c r="F658" s="144" t="s">
        <v>619</v>
      </c>
      <c r="G658" s="191" t="s">
        <v>111</v>
      </c>
      <c r="H658" s="198"/>
      <c r="I658" s="186"/>
      <c r="J658" s="186"/>
      <c r="K658" s="185"/>
      <c r="L658" s="186"/>
      <c r="M658" s="36">
        <v>390000</v>
      </c>
      <c r="N658" s="37"/>
      <c r="O658" s="37" t="s">
        <v>34</v>
      </c>
      <c r="P658" s="47" t="str">
        <f>IF(AND('331-CT'!$F$5=TH!H658,OR(N658="331",O658="331")),"x","")</f>
        <v/>
      </c>
      <c r="Q658" s="47" t="str">
        <f>IF(AND(B658='111'!$L$11,OR($N658=$Q$7,$O658=$Q$7)),"x","")</f>
        <v/>
      </c>
      <c r="R658" s="47" t="str">
        <f>IF(AND($N658=$Q$7,$B658&lt;'111'!$L$11),"x","")</f>
        <v/>
      </c>
      <c r="S658" s="47" t="str">
        <f>IF(AND($O658=$Q$7,$B658&lt;'111'!$L$11),"x","")</f>
        <v>x</v>
      </c>
    </row>
    <row r="659" spans="1:19" ht="15.75" customHeight="1">
      <c r="A659" s="152" t="str">
        <f>IF(B659&lt;&gt;"",IF(AND(B659='IN-TC'!$S$4,OR(TH!N659="1111",TH!O659="1111")),TH!D659,""),"")</f>
        <v/>
      </c>
      <c r="B659" s="34">
        <f t="shared" si="24"/>
        <v>5</v>
      </c>
      <c r="C659" s="35">
        <f t="shared" si="25"/>
        <v>42496</v>
      </c>
      <c r="D659" s="212" t="s">
        <v>878</v>
      </c>
      <c r="E659" s="35">
        <v>42496</v>
      </c>
      <c r="F659" s="144" t="s">
        <v>620</v>
      </c>
      <c r="G659" s="191" t="s">
        <v>204</v>
      </c>
      <c r="H659" s="198"/>
      <c r="I659" s="186"/>
      <c r="J659" s="186"/>
      <c r="K659" s="185"/>
      <c r="L659" s="186"/>
      <c r="M659" s="36">
        <v>20022000</v>
      </c>
      <c r="N659" s="37"/>
      <c r="O659" s="37" t="s">
        <v>34</v>
      </c>
      <c r="P659" s="47" t="str">
        <f>IF(AND('331-CT'!$F$5=TH!H659,OR(N659="331",O659="331")),"x","")</f>
        <v/>
      </c>
      <c r="Q659" s="47" t="str">
        <f>IF(AND(B659='111'!$L$11,OR($N659=$Q$7,$O659=$Q$7)),"x","")</f>
        <v/>
      </c>
      <c r="R659" s="47" t="str">
        <f>IF(AND($N659=$Q$7,$B659&lt;'111'!$L$11),"x","")</f>
        <v/>
      </c>
      <c r="S659" s="47" t="str">
        <f>IF(AND($O659=$Q$7,$B659&lt;'111'!$L$11),"x","")</f>
        <v>x</v>
      </c>
    </row>
    <row r="660" spans="1:19" ht="15.75" customHeight="1">
      <c r="A660" s="152" t="str">
        <f>IF(B660&lt;&gt;"",IF(AND(B660='IN-TC'!$S$4,OR(TH!N660="1111",TH!O660="1111")),TH!D660,""),"")</f>
        <v/>
      </c>
      <c r="B660" s="34">
        <f t="shared" si="24"/>
        <v>5</v>
      </c>
      <c r="C660" s="35">
        <f t="shared" si="25"/>
        <v>42496</v>
      </c>
      <c r="D660" s="212" t="s">
        <v>879</v>
      </c>
      <c r="E660" s="35">
        <v>42496</v>
      </c>
      <c r="F660" s="144" t="s">
        <v>615</v>
      </c>
      <c r="G660" s="191" t="s">
        <v>203</v>
      </c>
      <c r="H660" s="198" t="s">
        <v>1413</v>
      </c>
      <c r="I660" s="186"/>
      <c r="J660" s="186"/>
      <c r="K660" s="185"/>
      <c r="L660" s="186"/>
      <c r="M660" s="36">
        <v>18000000</v>
      </c>
      <c r="N660" s="37" t="s">
        <v>814</v>
      </c>
      <c r="O660" s="37" t="s">
        <v>34</v>
      </c>
      <c r="P660" s="47" t="str">
        <f>IF(AND('331-CT'!$F$5=TH!H660,OR(N660="331",O660="331")),"x","")</f>
        <v/>
      </c>
      <c r="Q660" s="47" t="str">
        <f>IF(AND(B660='111'!$L$11,OR($N660=$Q$7,$O660=$Q$7)),"x","")</f>
        <v/>
      </c>
      <c r="R660" s="47" t="str">
        <f>IF(AND($N660=$Q$7,$B660&lt;'111'!$L$11),"x","")</f>
        <v/>
      </c>
      <c r="S660" s="47" t="str">
        <f>IF(AND($O660=$Q$7,$B660&lt;'111'!$L$11),"x","")</f>
        <v>x</v>
      </c>
    </row>
    <row r="661" spans="1:19" ht="15.75" customHeight="1">
      <c r="A661" s="152" t="str">
        <f>IF(B661&lt;&gt;"",IF(AND(B661='IN-TC'!$S$4,OR(TH!N661="1111",TH!O661="1111")),TH!D661,""),"")</f>
        <v/>
      </c>
      <c r="B661" s="34">
        <f t="shared" si="24"/>
        <v>5</v>
      </c>
      <c r="C661" s="35">
        <f t="shared" si="25"/>
        <v>42496</v>
      </c>
      <c r="D661" s="212" t="s">
        <v>880</v>
      </c>
      <c r="E661" s="35">
        <v>42496</v>
      </c>
      <c r="F661" s="144" t="s">
        <v>621</v>
      </c>
      <c r="G661" s="191" t="s">
        <v>202</v>
      </c>
      <c r="H661" s="198"/>
      <c r="I661" s="186"/>
      <c r="J661" s="186"/>
      <c r="K661" s="185"/>
      <c r="L661" s="186"/>
      <c r="M661" s="36">
        <v>1250000</v>
      </c>
      <c r="N661" s="37"/>
      <c r="O661" s="37" t="s">
        <v>34</v>
      </c>
      <c r="P661" s="47" t="str">
        <f>IF(AND('331-CT'!$F$5=TH!H661,OR(N661="331",O661="331")),"x","")</f>
        <v/>
      </c>
      <c r="Q661" s="47" t="str">
        <f>IF(AND(B661='111'!$L$11,OR($N661=$Q$7,$O661=$Q$7)),"x","")</f>
        <v/>
      </c>
      <c r="R661" s="47" t="str">
        <f>IF(AND($N661=$Q$7,$B661&lt;'111'!$L$11),"x","")</f>
        <v/>
      </c>
      <c r="S661" s="47" t="str">
        <f>IF(AND($O661=$Q$7,$B661&lt;'111'!$L$11),"x","")</f>
        <v>x</v>
      </c>
    </row>
    <row r="662" spans="1:19" ht="15.75" customHeight="1">
      <c r="A662" s="152" t="str">
        <f>IF(B662&lt;&gt;"",IF(AND(B662='IN-TC'!$S$4,OR(TH!N662="1111",TH!O662="1111")),TH!D662,""),"")</f>
        <v/>
      </c>
      <c r="B662" s="34">
        <f t="shared" si="24"/>
        <v>5</v>
      </c>
      <c r="C662" s="35">
        <f t="shared" si="25"/>
        <v>42496</v>
      </c>
      <c r="D662" s="212" t="s">
        <v>881</v>
      </c>
      <c r="E662" s="35">
        <v>42496</v>
      </c>
      <c r="F662" s="144" t="s">
        <v>622</v>
      </c>
      <c r="G662" s="191" t="s">
        <v>214</v>
      </c>
      <c r="H662" s="198"/>
      <c r="I662" s="186"/>
      <c r="J662" s="186"/>
      <c r="K662" s="185"/>
      <c r="L662" s="186"/>
      <c r="M662" s="36">
        <v>50000</v>
      </c>
      <c r="N662" s="37"/>
      <c r="O662" s="37" t="s">
        <v>34</v>
      </c>
      <c r="P662" s="47" t="str">
        <f>IF(AND('331-CT'!$F$5=TH!H662,OR(N662="331",O662="331")),"x","")</f>
        <v/>
      </c>
      <c r="Q662" s="47" t="str">
        <f>IF(AND(B662='111'!$L$11,OR($N662=$Q$7,$O662=$Q$7)),"x","")</f>
        <v/>
      </c>
      <c r="R662" s="47" t="str">
        <f>IF(AND($N662=$Q$7,$B662&lt;'111'!$L$11),"x","")</f>
        <v/>
      </c>
      <c r="S662" s="47" t="str">
        <f>IF(AND($O662=$Q$7,$B662&lt;'111'!$L$11),"x","")</f>
        <v>x</v>
      </c>
    </row>
    <row r="663" spans="1:19" ht="15.75" customHeight="1">
      <c r="A663" s="152" t="str">
        <f>IF(B663&lt;&gt;"",IF(AND(B663='IN-TC'!$S$4,OR(TH!N663="1111",TH!O663="1111")),TH!D663,""),"")</f>
        <v/>
      </c>
      <c r="B663" s="34">
        <f t="shared" si="24"/>
        <v>5</v>
      </c>
      <c r="C663" s="35">
        <f t="shared" si="25"/>
        <v>42496</v>
      </c>
      <c r="D663" s="212"/>
      <c r="E663" s="35">
        <v>42496</v>
      </c>
      <c r="F663" s="144" t="s">
        <v>1502</v>
      </c>
      <c r="G663" s="191" t="s">
        <v>1454</v>
      </c>
      <c r="H663" s="198" t="s">
        <v>846</v>
      </c>
      <c r="I663" s="186">
        <v>175</v>
      </c>
      <c r="J663" s="186">
        <v>52000</v>
      </c>
      <c r="K663" s="185"/>
      <c r="L663" s="186"/>
      <c r="M663" s="36">
        <f>ROUND(I663*J663,-3)</f>
        <v>9100000</v>
      </c>
      <c r="N663" s="37" t="s">
        <v>1443</v>
      </c>
      <c r="O663" s="37" t="s">
        <v>8</v>
      </c>
      <c r="P663" s="47" t="str">
        <f>IF(AND('331-CT'!$F$5=TH!H663,OR(N663="331",O663="331")),"x","")</f>
        <v/>
      </c>
      <c r="Q663" s="47" t="str">
        <f>IF(AND(B663='111'!$L$11,OR($N663=$Q$7,$O663=$Q$7)),"x","")</f>
        <v/>
      </c>
      <c r="R663" s="47" t="str">
        <f>IF(AND($N663=$Q$7,$B663&lt;'111'!$L$11),"x","")</f>
        <v/>
      </c>
      <c r="S663" s="47" t="str">
        <f>IF(AND($O663=$Q$7,$B663&lt;'111'!$L$11),"x","")</f>
        <v/>
      </c>
    </row>
    <row r="664" spans="1:19" ht="15.75" customHeight="1">
      <c r="A664" s="152" t="str">
        <f>IF(B664&lt;&gt;"",IF(AND(B664='IN-TC'!$S$4,OR(TH!N664="1111",TH!O664="1111")),TH!D664,""),"")</f>
        <v/>
      </c>
      <c r="B664" s="34">
        <f t="shared" si="24"/>
        <v>5</v>
      </c>
      <c r="C664" s="35">
        <f t="shared" si="25"/>
        <v>42496</v>
      </c>
      <c r="D664" s="212"/>
      <c r="E664" s="35">
        <v>42496</v>
      </c>
      <c r="F664" s="144" t="s">
        <v>1506</v>
      </c>
      <c r="G664" s="191" t="s">
        <v>1454</v>
      </c>
      <c r="H664" s="198" t="s">
        <v>846</v>
      </c>
      <c r="I664" s="186">
        <v>722</v>
      </c>
      <c r="J664" s="186">
        <v>52000</v>
      </c>
      <c r="K664" s="185"/>
      <c r="L664" s="186"/>
      <c r="M664" s="36">
        <f>ROUND(I664*J664,-3)</f>
        <v>37544000</v>
      </c>
      <c r="N664" s="37" t="s">
        <v>1443</v>
      </c>
      <c r="O664" s="37" t="s">
        <v>8</v>
      </c>
      <c r="P664" s="47" t="str">
        <f>IF(AND('331-CT'!$F$5=TH!H664,OR(N664="331",O664="331")),"x","")</f>
        <v/>
      </c>
      <c r="Q664" s="47" t="str">
        <f>IF(AND(B664='111'!$L$11,OR($N664=$Q$7,$O664=$Q$7)),"x","")</f>
        <v/>
      </c>
      <c r="R664" s="47" t="str">
        <f>IF(AND($N664=$Q$7,$B664&lt;'111'!$L$11),"x","")</f>
        <v/>
      </c>
      <c r="S664" s="47" t="str">
        <f>IF(AND($O664=$Q$7,$B664&lt;'111'!$L$11),"x","")</f>
        <v/>
      </c>
    </row>
    <row r="665" spans="1:19" ht="15.75" customHeight="1">
      <c r="A665" s="152" t="str">
        <f>IF(B665&lt;&gt;"",IF(AND(B665='IN-TC'!$S$4,OR(TH!N665="1111",TH!O665="1111")),TH!D665,""),"")</f>
        <v/>
      </c>
      <c r="B665" s="34">
        <f t="shared" si="24"/>
        <v>5</v>
      </c>
      <c r="C665" s="35">
        <f t="shared" si="25"/>
        <v>42496</v>
      </c>
      <c r="D665" s="212"/>
      <c r="E665" s="35">
        <v>42496</v>
      </c>
      <c r="F665" s="144" t="s">
        <v>1507</v>
      </c>
      <c r="G665" s="191" t="s">
        <v>1454</v>
      </c>
      <c r="H665" s="198" t="s">
        <v>846</v>
      </c>
      <c r="I665" s="186"/>
      <c r="J665" s="186"/>
      <c r="K665" s="185"/>
      <c r="L665" s="186"/>
      <c r="M665" s="36">
        <v>49000</v>
      </c>
      <c r="N665" s="37" t="s">
        <v>8</v>
      </c>
      <c r="O665" s="37" t="s">
        <v>1457</v>
      </c>
      <c r="P665" s="47" t="str">
        <f>IF(AND('331-CT'!$F$5=TH!H665,OR(N665="331",O665="331")),"x","")</f>
        <v/>
      </c>
      <c r="Q665" s="47" t="str">
        <f>IF(AND(B665='111'!$L$11,OR($N665=$Q$7,$O665=$Q$7)),"x","")</f>
        <v/>
      </c>
      <c r="R665" s="47" t="str">
        <f>IF(AND($N665=$Q$7,$B665&lt;'111'!$L$11),"x","")</f>
        <v/>
      </c>
      <c r="S665" s="47" t="str">
        <f>IF(AND($O665=$Q$7,$B665&lt;'111'!$L$11),"x","")</f>
        <v/>
      </c>
    </row>
    <row r="666" spans="1:19" ht="15.75" customHeight="1">
      <c r="A666" s="152" t="str">
        <f>IF(B666&lt;&gt;"",IF(AND(B666='IN-TC'!$S$4,OR(TH!N666="1111",TH!O666="1111")),TH!D666,""),"")</f>
        <v/>
      </c>
      <c r="B666" s="34">
        <f t="shared" si="24"/>
        <v>5</v>
      </c>
      <c r="C666" s="35">
        <f t="shared" si="25"/>
        <v>42499</v>
      </c>
      <c r="D666" s="212" t="s">
        <v>882</v>
      </c>
      <c r="E666" s="35">
        <v>42499</v>
      </c>
      <c r="F666" s="144" t="s">
        <v>623</v>
      </c>
      <c r="G666" s="191" t="s">
        <v>202</v>
      </c>
      <c r="H666" s="198"/>
      <c r="I666" s="186"/>
      <c r="J666" s="186"/>
      <c r="K666" s="185"/>
      <c r="L666" s="186"/>
      <c r="M666" s="36">
        <v>330000</v>
      </c>
      <c r="N666" s="37"/>
      <c r="O666" s="37" t="s">
        <v>34</v>
      </c>
      <c r="P666" s="47" t="str">
        <f>IF(AND('331-CT'!$F$5=TH!H666,OR(N666="331",O666="331")),"x","")</f>
        <v/>
      </c>
      <c r="Q666" s="47" t="str">
        <f>IF(AND(B666='111'!$L$11,OR($N666=$Q$7,$O666=$Q$7)),"x","")</f>
        <v/>
      </c>
      <c r="R666" s="47" t="str">
        <f>IF(AND($N666=$Q$7,$B666&lt;'111'!$L$11),"x","")</f>
        <v/>
      </c>
      <c r="S666" s="47" t="str">
        <f>IF(AND($O666=$Q$7,$B666&lt;'111'!$L$11),"x","")</f>
        <v>x</v>
      </c>
    </row>
    <row r="667" spans="1:19" ht="15.75" customHeight="1">
      <c r="A667" s="152" t="str">
        <f>IF(B667&lt;&gt;"",IF(AND(B667='IN-TC'!$S$4,OR(TH!N667="1111",TH!O667="1111")),TH!D667,""),"")</f>
        <v/>
      </c>
      <c r="B667" s="34">
        <f t="shared" si="24"/>
        <v>5</v>
      </c>
      <c r="C667" s="35">
        <f t="shared" si="25"/>
        <v>42499</v>
      </c>
      <c r="D667" s="212" t="s">
        <v>883</v>
      </c>
      <c r="E667" s="35">
        <v>42499</v>
      </c>
      <c r="F667" s="144" t="s">
        <v>624</v>
      </c>
      <c r="G667" s="191" t="s">
        <v>209</v>
      </c>
      <c r="H667" s="198"/>
      <c r="I667" s="186"/>
      <c r="J667" s="186"/>
      <c r="K667" s="185"/>
      <c r="L667" s="186"/>
      <c r="M667" s="36">
        <v>1421000</v>
      </c>
      <c r="N667" s="37"/>
      <c r="O667" s="37" t="s">
        <v>34</v>
      </c>
      <c r="P667" s="47" t="str">
        <f>IF(AND('331-CT'!$F$5=TH!H667,OR(N667="331",O667="331")),"x","")</f>
        <v/>
      </c>
      <c r="Q667" s="47" t="str">
        <f>IF(AND(B667='111'!$L$11,OR($N667=$Q$7,$O667=$Q$7)),"x","")</f>
        <v/>
      </c>
      <c r="R667" s="47" t="str">
        <f>IF(AND($N667=$Q$7,$B667&lt;'111'!$L$11),"x","")</f>
        <v/>
      </c>
      <c r="S667" s="47" t="str">
        <f>IF(AND($O667=$Q$7,$B667&lt;'111'!$L$11),"x","")</f>
        <v>x</v>
      </c>
    </row>
    <row r="668" spans="1:19" ht="15.75" customHeight="1">
      <c r="A668" s="152" t="str">
        <f>IF(B668&lt;&gt;"",IF(AND(B668='IN-TC'!$S$4,OR(TH!N668="1111",TH!O668="1111")),TH!D668,""),"")</f>
        <v/>
      </c>
      <c r="B668" s="34">
        <f t="shared" si="24"/>
        <v>5</v>
      </c>
      <c r="C668" s="35">
        <f t="shared" si="25"/>
        <v>42499</v>
      </c>
      <c r="D668" s="212" t="s">
        <v>884</v>
      </c>
      <c r="E668" s="35">
        <v>42499</v>
      </c>
      <c r="F668" s="144" t="s">
        <v>625</v>
      </c>
      <c r="G668" s="191" t="s">
        <v>112</v>
      </c>
      <c r="H668" s="198"/>
      <c r="I668" s="186"/>
      <c r="J668" s="186"/>
      <c r="K668" s="185"/>
      <c r="L668" s="186"/>
      <c r="M668" s="36">
        <v>10000000</v>
      </c>
      <c r="N668" s="37"/>
      <c r="O668" s="37" t="s">
        <v>34</v>
      </c>
      <c r="P668" s="47" t="str">
        <f>IF(AND('331-CT'!$F$5=TH!H668,OR(N668="331",O668="331")),"x","")</f>
        <v/>
      </c>
      <c r="Q668" s="47" t="str">
        <f>IF(AND(B668='111'!$L$11,OR($N668=$Q$7,$O668=$Q$7)),"x","")</f>
        <v/>
      </c>
      <c r="R668" s="47" t="str">
        <f>IF(AND($N668=$Q$7,$B668&lt;'111'!$L$11),"x","")</f>
        <v/>
      </c>
      <c r="S668" s="47" t="str">
        <f>IF(AND($O668=$Q$7,$B668&lt;'111'!$L$11),"x","")</f>
        <v>x</v>
      </c>
    </row>
    <row r="669" spans="1:19" ht="15.75" customHeight="1">
      <c r="A669" s="152" t="str">
        <f>IF(B669&lt;&gt;"",IF(AND(B669='IN-TC'!$S$4,OR(TH!N669="1111",TH!O669="1111")),TH!D669,""),"")</f>
        <v/>
      </c>
      <c r="B669" s="34">
        <f t="shared" si="24"/>
        <v>5</v>
      </c>
      <c r="C669" s="35">
        <f t="shared" si="25"/>
        <v>42499</v>
      </c>
      <c r="D669" s="212" t="s">
        <v>885</v>
      </c>
      <c r="E669" s="35">
        <v>42499</v>
      </c>
      <c r="F669" s="144" t="s">
        <v>626</v>
      </c>
      <c r="G669" s="191" t="s">
        <v>110</v>
      </c>
      <c r="H669" s="198"/>
      <c r="I669" s="186"/>
      <c r="J669" s="186"/>
      <c r="K669" s="185"/>
      <c r="L669" s="186"/>
      <c r="M669" s="36">
        <v>2500000</v>
      </c>
      <c r="N669" s="37"/>
      <c r="O669" s="37" t="s">
        <v>34</v>
      </c>
      <c r="P669" s="47" t="str">
        <f>IF(AND('331-CT'!$F$5=TH!H669,OR(N669="331",O669="331")),"x","")</f>
        <v/>
      </c>
      <c r="Q669" s="47" t="str">
        <f>IF(AND(B669='111'!$L$11,OR($N669=$Q$7,$O669=$Q$7)),"x","")</f>
        <v/>
      </c>
      <c r="R669" s="47" t="str">
        <f>IF(AND($N669=$Q$7,$B669&lt;'111'!$L$11),"x","")</f>
        <v/>
      </c>
      <c r="S669" s="47" t="str">
        <f>IF(AND($O669=$Q$7,$B669&lt;'111'!$L$11),"x","")</f>
        <v>x</v>
      </c>
    </row>
    <row r="670" spans="1:19" ht="15.75" customHeight="1">
      <c r="A670" s="152" t="str">
        <f>IF(B670&lt;&gt;"",IF(AND(B670='IN-TC'!$S$4,OR(TH!N670="1111",TH!O670="1111")),TH!D670,""),"")</f>
        <v/>
      </c>
      <c r="B670" s="34">
        <f t="shared" si="24"/>
        <v>5</v>
      </c>
      <c r="C670" s="35">
        <f t="shared" si="25"/>
        <v>42499</v>
      </c>
      <c r="D670" s="212" t="s">
        <v>886</v>
      </c>
      <c r="E670" s="35">
        <v>42499</v>
      </c>
      <c r="F670" s="144" t="s">
        <v>1387</v>
      </c>
      <c r="G670" s="191" t="s">
        <v>203</v>
      </c>
      <c r="H670" s="198" t="s">
        <v>1414</v>
      </c>
      <c r="I670" s="186"/>
      <c r="J670" s="186"/>
      <c r="K670" s="185"/>
      <c r="L670" s="186"/>
      <c r="M670" s="36">
        <v>5017000</v>
      </c>
      <c r="N670" s="37" t="s">
        <v>814</v>
      </c>
      <c r="O670" s="37" t="s">
        <v>34</v>
      </c>
      <c r="P670" s="47" t="str">
        <f>IF(AND('331-CT'!$F$5=TH!H670,OR(N670="331",O670="331")),"x","")</f>
        <v/>
      </c>
      <c r="Q670" s="47" t="str">
        <f>IF(AND(B670='111'!$L$11,OR($N670=$Q$7,$O670=$Q$7)),"x","")</f>
        <v/>
      </c>
      <c r="R670" s="47" t="str">
        <f>IF(AND($N670=$Q$7,$B670&lt;'111'!$L$11),"x","")</f>
        <v/>
      </c>
      <c r="S670" s="47" t="str">
        <f>IF(AND($O670=$Q$7,$B670&lt;'111'!$L$11),"x","")</f>
        <v>x</v>
      </c>
    </row>
    <row r="671" spans="1:19" ht="15.75" customHeight="1">
      <c r="A671" s="152" t="str">
        <f>IF(B671&lt;&gt;"",IF(AND(B671='IN-TC'!$S$4,OR(TH!N671="1111",TH!O671="1111")),TH!D671,""),"")</f>
        <v/>
      </c>
      <c r="B671" s="34">
        <f t="shared" si="24"/>
        <v>5</v>
      </c>
      <c r="C671" s="35">
        <f t="shared" si="25"/>
        <v>42499</v>
      </c>
      <c r="D671" s="212" t="s">
        <v>887</v>
      </c>
      <c r="E671" s="35">
        <v>42499</v>
      </c>
      <c r="F671" s="144" t="s">
        <v>627</v>
      </c>
      <c r="G671" s="191" t="s">
        <v>207</v>
      </c>
      <c r="H671" s="198"/>
      <c r="I671" s="186"/>
      <c r="J671" s="186"/>
      <c r="K671" s="185"/>
      <c r="L671" s="186"/>
      <c r="M671" s="36">
        <v>290000</v>
      </c>
      <c r="N671" s="37"/>
      <c r="O671" s="37" t="s">
        <v>34</v>
      </c>
      <c r="P671" s="47" t="str">
        <f>IF(AND('331-CT'!$F$5=TH!H671,OR(N671="331",O671="331")),"x","")</f>
        <v/>
      </c>
      <c r="Q671" s="47" t="str">
        <f>IF(AND(B671='111'!$L$11,OR($N671=$Q$7,$O671=$Q$7)),"x","")</f>
        <v/>
      </c>
      <c r="R671" s="47" t="str">
        <f>IF(AND($N671=$Q$7,$B671&lt;'111'!$L$11),"x","")</f>
        <v/>
      </c>
      <c r="S671" s="47" t="str">
        <f>IF(AND($O671=$Q$7,$B671&lt;'111'!$L$11),"x","")</f>
        <v>x</v>
      </c>
    </row>
    <row r="672" spans="1:19" ht="15.75" customHeight="1">
      <c r="A672" s="152" t="str">
        <f>IF(B672&lt;&gt;"",IF(AND(B672='IN-TC'!$S$4,OR(TH!N672="1111",TH!O672="1111")),TH!D672,""),"")</f>
        <v/>
      </c>
      <c r="B672" s="34">
        <f t="shared" si="24"/>
        <v>5</v>
      </c>
      <c r="C672" s="35">
        <f t="shared" si="25"/>
        <v>42499</v>
      </c>
      <c r="D672" s="212"/>
      <c r="E672" s="35">
        <v>42499</v>
      </c>
      <c r="F672" s="144" t="s">
        <v>1466</v>
      </c>
      <c r="G672" s="191"/>
      <c r="H672" s="198" t="s">
        <v>815</v>
      </c>
      <c r="I672" s="186">
        <v>111</v>
      </c>
      <c r="J672" s="186">
        <v>0</v>
      </c>
      <c r="K672" s="185"/>
      <c r="L672" s="186"/>
      <c r="M672" s="36">
        <f>ROUND(I672*J672,0)</f>
        <v>0</v>
      </c>
      <c r="N672" s="37" t="s">
        <v>1443</v>
      </c>
      <c r="O672" s="37" t="s">
        <v>8</v>
      </c>
      <c r="P672" s="47" t="str">
        <f>IF(AND('331-CT'!$F$5=TH!H672,OR(N672="331",O672="331")),"x","")</f>
        <v/>
      </c>
      <c r="Q672" s="47" t="str">
        <f>IF(AND(B672='111'!$L$11,OR($N672=$Q$7,$O672=$Q$7)),"x","")</f>
        <v/>
      </c>
      <c r="R672" s="47" t="str">
        <f>IF(AND($N672=$Q$7,$B672&lt;'111'!$L$11),"x","")</f>
        <v/>
      </c>
      <c r="S672" s="47" t="str">
        <f>IF(AND($O672=$Q$7,$B672&lt;'111'!$L$11),"x","")</f>
        <v/>
      </c>
    </row>
    <row r="673" spans="1:19" ht="15.75" customHeight="1">
      <c r="A673" s="152" t="str">
        <f>IF(B673&lt;&gt;"",IF(AND(B673='IN-TC'!$S$4,OR(TH!N673="1111",TH!O673="1111")),TH!D673,""),"")</f>
        <v/>
      </c>
      <c r="B673" s="34">
        <f t="shared" si="24"/>
        <v>5</v>
      </c>
      <c r="C673" s="35">
        <f t="shared" si="25"/>
        <v>42499</v>
      </c>
      <c r="D673" s="212"/>
      <c r="E673" s="35">
        <v>42499</v>
      </c>
      <c r="F673" s="144" t="s">
        <v>1461</v>
      </c>
      <c r="G673" s="191"/>
      <c r="H673" s="198" t="s">
        <v>815</v>
      </c>
      <c r="I673" s="186">
        <v>2379</v>
      </c>
      <c r="J673" s="186">
        <v>36000</v>
      </c>
      <c r="K673" s="185"/>
      <c r="L673" s="186"/>
      <c r="M673" s="36">
        <f>ROUND(I673*J673,0)</f>
        <v>85644000</v>
      </c>
      <c r="N673" s="37" t="s">
        <v>1443</v>
      </c>
      <c r="O673" s="37" t="s">
        <v>8</v>
      </c>
      <c r="P673" s="47" t="str">
        <f>IF(AND('331-CT'!$F$5=TH!H673,OR(N673="331",O673="331")),"x","")</f>
        <v/>
      </c>
      <c r="Q673" s="47" t="str">
        <f>IF(AND(B673='111'!$L$11,OR($N673=$Q$7,$O673=$Q$7)),"x","")</f>
        <v/>
      </c>
      <c r="R673" s="47" t="str">
        <f>IF(AND($N673=$Q$7,$B673&lt;'111'!$L$11),"x","")</f>
        <v/>
      </c>
      <c r="S673" s="47" t="str">
        <f>IF(AND($O673=$Q$7,$B673&lt;'111'!$L$11),"x","")</f>
        <v/>
      </c>
    </row>
    <row r="674" spans="1:19" ht="15.75" customHeight="1">
      <c r="A674" s="152" t="str">
        <f>IF(B674&lt;&gt;"",IF(AND(B674='IN-TC'!$S$4,OR(TH!N674="1111",TH!O674="1111")),TH!D674,""),"")</f>
        <v/>
      </c>
      <c r="B674" s="34">
        <f t="shared" si="24"/>
        <v>5</v>
      </c>
      <c r="C674" s="35">
        <f t="shared" si="25"/>
        <v>42499</v>
      </c>
      <c r="D674" s="212"/>
      <c r="E674" s="35">
        <v>42499</v>
      </c>
      <c r="F674" s="144" t="s">
        <v>1465</v>
      </c>
      <c r="G674" s="191"/>
      <c r="H674" s="198" t="s">
        <v>815</v>
      </c>
      <c r="I674" s="186">
        <v>607</v>
      </c>
      <c r="J674" s="186">
        <v>32000</v>
      </c>
      <c r="K674" s="185"/>
      <c r="L674" s="186"/>
      <c r="M674" s="36">
        <f>ROUND(I674*J674,0)</f>
        <v>19424000</v>
      </c>
      <c r="N674" s="37" t="s">
        <v>1443</v>
      </c>
      <c r="O674" s="37" t="s">
        <v>8</v>
      </c>
      <c r="P674" s="47" t="str">
        <f>IF(AND('331-CT'!$F$5=TH!H674,OR(N674="331",O674="331")),"x","")</f>
        <v/>
      </c>
      <c r="Q674" s="47" t="str">
        <f>IF(AND(B674='111'!$L$11,OR($N674=$Q$7,$O674=$Q$7)),"x","")</f>
        <v/>
      </c>
      <c r="R674" s="47" t="str">
        <f>IF(AND($N674=$Q$7,$B674&lt;'111'!$L$11),"x","")</f>
        <v/>
      </c>
      <c r="S674" s="47" t="str">
        <f>IF(AND($O674=$Q$7,$B674&lt;'111'!$L$11),"x","")</f>
        <v/>
      </c>
    </row>
    <row r="675" spans="1:19" ht="15.75" customHeight="1">
      <c r="A675" s="152" t="str">
        <f>IF(B675&lt;&gt;"",IF(AND(B675='IN-TC'!$S$4,OR(TH!N675="1111",TH!O675="1111")),TH!D675,""),"")</f>
        <v/>
      </c>
      <c r="B675" s="34">
        <f t="shared" si="24"/>
        <v>5</v>
      </c>
      <c r="C675" s="35">
        <f t="shared" si="25"/>
        <v>42499</v>
      </c>
      <c r="D675" s="212"/>
      <c r="E675" s="35">
        <v>42499</v>
      </c>
      <c r="F675" s="144" t="s">
        <v>1467</v>
      </c>
      <c r="G675" s="191"/>
      <c r="H675" s="198" t="s">
        <v>831</v>
      </c>
      <c r="I675" s="186">
        <v>650</v>
      </c>
      <c r="J675" s="186">
        <v>14000</v>
      </c>
      <c r="K675" s="185"/>
      <c r="L675" s="186"/>
      <c r="M675" s="36">
        <f>ROUND(I675*J675,0)</f>
        <v>9100000</v>
      </c>
      <c r="N675" s="37" t="s">
        <v>1443</v>
      </c>
      <c r="O675" s="37" t="s">
        <v>8</v>
      </c>
      <c r="P675" s="47" t="str">
        <f>IF(AND('331-CT'!$F$5=TH!H675,OR(N675="331",O675="331")),"x","")</f>
        <v/>
      </c>
      <c r="Q675" s="47" t="str">
        <f>IF(AND(B675='111'!$L$11,OR($N675=$Q$7,$O675=$Q$7)),"x","")</f>
        <v/>
      </c>
      <c r="R675" s="47" t="str">
        <f>IF(AND($N675=$Q$7,$B675&lt;'111'!$L$11),"x","")</f>
        <v/>
      </c>
      <c r="S675" s="47" t="str">
        <f>IF(AND($O675=$Q$7,$B675&lt;'111'!$L$11),"x","")</f>
        <v/>
      </c>
    </row>
    <row r="676" spans="1:19" ht="15.75" customHeight="1">
      <c r="A676" s="152" t="str">
        <f>IF(B676&lt;&gt;"",IF(AND(B676='IN-TC'!$S$4,OR(TH!N676="1111",TH!O676="1111")),TH!D676,""),"")</f>
        <v/>
      </c>
      <c r="B676" s="34">
        <f t="shared" si="24"/>
        <v>5</v>
      </c>
      <c r="C676" s="35">
        <f t="shared" si="25"/>
        <v>42500</v>
      </c>
      <c r="D676" s="212" t="s">
        <v>888</v>
      </c>
      <c r="E676" s="35">
        <v>42500</v>
      </c>
      <c r="F676" s="144" t="s">
        <v>628</v>
      </c>
      <c r="G676" s="191" t="s">
        <v>202</v>
      </c>
      <c r="H676" s="198"/>
      <c r="I676" s="186"/>
      <c r="J676" s="186"/>
      <c r="K676" s="185"/>
      <c r="L676" s="186"/>
      <c r="M676" s="36">
        <v>200000</v>
      </c>
      <c r="N676" s="37"/>
      <c r="O676" s="37" t="s">
        <v>34</v>
      </c>
      <c r="P676" s="47" t="str">
        <f>IF(AND('331-CT'!$F$5=TH!H676,OR(N676="331",O676="331")),"x","")</f>
        <v/>
      </c>
      <c r="Q676" s="47" t="str">
        <f>IF(AND(B676='111'!$L$11,OR($N676=$Q$7,$O676=$Q$7)),"x","")</f>
        <v/>
      </c>
      <c r="R676" s="47" t="str">
        <f>IF(AND($N676=$Q$7,$B676&lt;'111'!$L$11),"x","")</f>
        <v/>
      </c>
      <c r="S676" s="47" t="str">
        <f>IF(AND($O676=$Q$7,$B676&lt;'111'!$L$11),"x","")</f>
        <v>x</v>
      </c>
    </row>
    <row r="677" spans="1:19" ht="15.75" customHeight="1">
      <c r="A677" s="152" t="str">
        <f>IF(B677&lt;&gt;"",IF(AND(B677='IN-TC'!$S$4,OR(TH!N677="1111",TH!O677="1111")),TH!D677,""),"")</f>
        <v/>
      </c>
      <c r="B677" s="34">
        <f t="shared" si="24"/>
        <v>5</v>
      </c>
      <c r="C677" s="35">
        <f t="shared" si="25"/>
        <v>42500</v>
      </c>
      <c r="D677" s="212" t="s">
        <v>889</v>
      </c>
      <c r="E677" s="35">
        <v>42500</v>
      </c>
      <c r="F677" s="144" t="s">
        <v>546</v>
      </c>
      <c r="G677" s="191" t="s">
        <v>204</v>
      </c>
      <c r="H677" s="198"/>
      <c r="I677" s="186"/>
      <c r="J677" s="186"/>
      <c r="K677" s="185"/>
      <c r="L677" s="186"/>
      <c r="M677" s="36">
        <v>4200000</v>
      </c>
      <c r="N677" s="37"/>
      <c r="O677" s="37" t="s">
        <v>34</v>
      </c>
      <c r="P677" s="47" t="str">
        <f>IF(AND('331-CT'!$F$5=TH!H677,OR(N677="331",O677="331")),"x","")</f>
        <v/>
      </c>
      <c r="Q677" s="47" t="str">
        <f>IF(AND(B677='111'!$L$11,OR($N677=$Q$7,$O677=$Q$7)),"x","")</f>
        <v/>
      </c>
      <c r="R677" s="47" t="str">
        <f>IF(AND($N677=$Q$7,$B677&lt;'111'!$L$11),"x","")</f>
        <v/>
      </c>
      <c r="S677" s="47" t="str">
        <f>IF(AND($O677=$Q$7,$B677&lt;'111'!$L$11),"x","")</f>
        <v>x</v>
      </c>
    </row>
    <row r="678" spans="1:19" ht="15.75" customHeight="1">
      <c r="A678" s="152" t="str">
        <f>IF(B678&lt;&gt;"",IF(AND(B678='IN-TC'!$S$4,OR(TH!N678="1111",TH!O678="1111")),TH!D678,""),"")</f>
        <v/>
      </c>
      <c r="B678" s="34">
        <f t="shared" si="24"/>
        <v>5</v>
      </c>
      <c r="C678" s="35">
        <f t="shared" si="25"/>
        <v>42500</v>
      </c>
      <c r="D678" s="212" t="s">
        <v>890</v>
      </c>
      <c r="E678" s="35">
        <v>42500</v>
      </c>
      <c r="F678" s="144" t="s">
        <v>583</v>
      </c>
      <c r="G678" s="191" t="s">
        <v>202</v>
      </c>
      <c r="H678" s="198"/>
      <c r="I678" s="186"/>
      <c r="J678" s="186"/>
      <c r="K678" s="185"/>
      <c r="L678" s="186"/>
      <c r="M678" s="36">
        <v>147000</v>
      </c>
      <c r="N678" s="37"/>
      <c r="O678" s="37" t="s">
        <v>34</v>
      </c>
      <c r="P678" s="47" t="str">
        <f>IF(AND('331-CT'!$F$5=TH!H678,OR(N678="331",O678="331")),"x","")</f>
        <v/>
      </c>
      <c r="Q678" s="47" t="str">
        <f>IF(AND(B678='111'!$L$11,OR($N678=$Q$7,$O678=$Q$7)),"x","")</f>
        <v/>
      </c>
      <c r="R678" s="47" t="str">
        <f>IF(AND($N678=$Q$7,$B678&lt;'111'!$L$11),"x","")</f>
        <v/>
      </c>
      <c r="S678" s="47" t="str">
        <f>IF(AND($O678=$Q$7,$B678&lt;'111'!$L$11),"x","")</f>
        <v>x</v>
      </c>
    </row>
    <row r="679" spans="1:19" ht="15.75" customHeight="1">
      <c r="A679" s="152" t="str">
        <f>IF(B679&lt;&gt;"",IF(AND(B679='IN-TC'!$S$4,OR(TH!N679="1111",TH!O679="1111")),TH!D679,""),"")</f>
        <v/>
      </c>
      <c r="B679" s="34">
        <f t="shared" si="24"/>
        <v>5</v>
      </c>
      <c r="C679" s="35">
        <f t="shared" si="25"/>
        <v>42500</v>
      </c>
      <c r="D679" s="212" t="s">
        <v>891</v>
      </c>
      <c r="E679" s="35">
        <v>42500</v>
      </c>
      <c r="F679" s="144" t="s">
        <v>629</v>
      </c>
      <c r="G679" s="191" t="s">
        <v>111</v>
      </c>
      <c r="H679" s="198"/>
      <c r="I679" s="186"/>
      <c r="J679" s="186"/>
      <c r="K679" s="185"/>
      <c r="L679" s="186"/>
      <c r="M679" s="36">
        <v>4000000</v>
      </c>
      <c r="N679" s="37"/>
      <c r="O679" s="37" t="s">
        <v>34</v>
      </c>
      <c r="P679" s="47" t="str">
        <f>IF(AND('331-CT'!$F$5=TH!H679,OR(N679="331",O679="331")),"x","")</f>
        <v/>
      </c>
      <c r="Q679" s="47" t="str">
        <f>IF(AND(B679='111'!$L$11,OR($N679=$Q$7,$O679=$Q$7)),"x","")</f>
        <v/>
      </c>
      <c r="R679" s="47" t="str">
        <f>IF(AND($N679=$Q$7,$B679&lt;'111'!$L$11),"x","")</f>
        <v/>
      </c>
      <c r="S679" s="47" t="str">
        <f>IF(AND($O679=$Q$7,$B679&lt;'111'!$L$11),"x","")</f>
        <v>x</v>
      </c>
    </row>
    <row r="680" spans="1:19" ht="15.75" customHeight="1">
      <c r="A680" s="152" t="str">
        <f>IF(B680&lt;&gt;"",IF(AND(B680='IN-TC'!$S$4,OR(TH!N680="1111",TH!O680="1111")),TH!D680,""),"")</f>
        <v/>
      </c>
      <c r="B680" s="34">
        <f t="shared" si="24"/>
        <v>5</v>
      </c>
      <c r="C680" s="35">
        <f t="shared" si="25"/>
        <v>42500</v>
      </c>
      <c r="D680" s="212"/>
      <c r="E680" s="35">
        <v>42500</v>
      </c>
      <c r="F680" s="144" t="s">
        <v>1467</v>
      </c>
      <c r="G680" s="191"/>
      <c r="H680" s="198" t="s">
        <v>831</v>
      </c>
      <c r="I680" s="186">
        <v>1170</v>
      </c>
      <c r="J680" s="186">
        <v>14000</v>
      </c>
      <c r="K680" s="185"/>
      <c r="L680" s="186"/>
      <c r="M680" s="36">
        <f>ROUND(I680*J680,0)</f>
        <v>16380000</v>
      </c>
      <c r="N680" s="37" t="s">
        <v>1443</v>
      </c>
      <c r="O680" s="37" t="s">
        <v>8</v>
      </c>
      <c r="P680" s="47" t="str">
        <f>IF(AND('331-CT'!$F$5=TH!H680,OR(N680="331",O680="331")),"x","")</f>
        <v/>
      </c>
      <c r="Q680" s="47" t="str">
        <f>IF(AND(B680='111'!$L$11,OR($N680=$Q$7,$O680=$Q$7)),"x","")</f>
        <v/>
      </c>
      <c r="R680" s="47" t="str">
        <f>IF(AND($N680=$Q$7,$B680&lt;'111'!$L$11),"x","")</f>
        <v/>
      </c>
      <c r="S680" s="47" t="str">
        <f>IF(AND($O680=$Q$7,$B680&lt;'111'!$L$11),"x","")</f>
        <v/>
      </c>
    </row>
    <row r="681" spans="1:19" ht="15.75" customHeight="1">
      <c r="A681" s="152" t="str">
        <f>IF(B681&lt;&gt;"",IF(AND(B681='IN-TC'!$S$4,OR(TH!N681="1111",TH!O681="1111")),TH!D681,""),"")</f>
        <v/>
      </c>
      <c r="B681" s="34">
        <f t="shared" si="24"/>
        <v>5</v>
      </c>
      <c r="C681" s="35">
        <f t="shared" si="25"/>
        <v>42501</v>
      </c>
      <c r="D681" s="212" t="s">
        <v>937</v>
      </c>
      <c r="E681" s="35">
        <v>42501</v>
      </c>
      <c r="F681" s="144" t="s">
        <v>173</v>
      </c>
      <c r="G681" s="191" t="s">
        <v>110</v>
      </c>
      <c r="H681" s="198"/>
      <c r="I681" s="186"/>
      <c r="J681" s="186"/>
      <c r="K681" s="185"/>
      <c r="L681" s="186"/>
      <c r="M681" s="36">
        <v>2500000</v>
      </c>
      <c r="N681" s="37" t="s">
        <v>34</v>
      </c>
      <c r="O681" s="37"/>
      <c r="P681" s="47" t="str">
        <f>IF(AND('331-CT'!$F$5=TH!H681,OR(N681="331",O681="331")),"x","")</f>
        <v/>
      </c>
      <c r="Q681" s="47" t="str">
        <f>IF(AND(B681='111'!$L$11,OR($N681=$Q$7,$O681=$Q$7)),"x","")</f>
        <v/>
      </c>
      <c r="R681" s="47" t="str">
        <f>IF(AND($N681=$Q$7,$B681&lt;'111'!$L$11),"x","")</f>
        <v>x</v>
      </c>
      <c r="S681" s="47" t="str">
        <f>IF(AND($O681=$Q$7,$B681&lt;'111'!$L$11),"x","")</f>
        <v/>
      </c>
    </row>
    <row r="682" spans="1:19" ht="15.75" customHeight="1">
      <c r="A682" s="152" t="str">
        <f>IF(B682&lt;&gt;"",IF(AND(B682='IN-TC'!$S$4,OR(TH!N682="1111",TH!O682="1111")),TH!D682,""),"")</f>
        <v/>
      </c>
      <c r="B682" s="34">
        <f t="shared" si="24"/>
        <v>5</v>
      </c>
      <c r="C682" s="35">
        <f t="shared" si="25"/>
        <v>42501</v>
      </c>
      <c r="D682" s="212" t="s">
        <v>938</v>
      </c>
      <c r="E682" s="35">
        <v>42501</v>
      </c>
      <c r="F682" s="144" t="s">
        <v>155</v>
      </c>
      <c r="G682" s="191" t="s">
        <v>104</v>
      </c>
      <c r="H682" s="198"/>
      <c r="I682" s="186"/>
      <c r="J682" s="186"/>
      <c r="K682" s="185"/>
      <c r="L682" s="186"/>
      <c r="M682" s="36">
        <v>1000000000</v>
      </c>
      <c r="N682" s="37" t="s">
        <v>34</v>
      </c>
      <c r="O682" s="37"/>
      <c r="P682" s="47" t="str">
        <f>IF(AND('331-CT'!$F$5=TH!H682,OR(N682="331",O682="331")),"x","")</f>
        <v/>
      </c>
      <c r="Q682" s="47" t="str">
        <f>IF(AND(B682='111'!$L$11,OR($N682=$Q$7,$O682=$Q$7)),"x","")</f>
        <v/>
      </c>
      <c r="R682" s="47" t="str">
        <f>IF(AND($N682=$Q$7,$B682&lt;'111'!$L$11),"x","")</f>
        <v>x</v>
      </c>
      <c r="S682" s="47" t="str">
        <f>IF(AND($O682=$Q$7,$B682&lt;'111'!$L$11),"x","")</f>
        <v/>
      </c>
    </row>
    <row r="683" spans="1:19" ht="15.75" customHeight="1">
      <c r="A683" s="152" t="str">
        <f>IF(B683&lt;&gt;"",IF(AND(B683='IN-TC'!$S$4,OR(TH!N683="1111",TH!O683="1111")),TH!D683,""),"")</f>
        <v/>
      </c>
      <c r="B683" s="34">
        <f t="shared" si="24"/>
        <v>5</v>
      </c>
      <c r="C683" s="35">
        <f t="shared" si="25"/>
        <v>42501</v>
      </c>
      <c r="D683" s="212" t="s">
        <v>892</v>
      </c>
      <c r="E683" s="35">
        <v>42501</v>
      </c>
      <c r="F683" s="144" t="s">
        <v>630</v>
      </c>
      <c r="G683" s="191" t="s">
        <v>215</v>
      </c>
      <c r="H683" s="198"/>
      <c r="I683" s="186"/>
      <c r="J683" s="186"/>
      <c r="K683" s="185"/>
      <c r="L683" s="186"/>
      <c r="M683" s="36">
        <v>5000000</v>
      </c>
      <c r="N683" s="37"/>
      <c r="O683" s="37" t="s">
        <v>34</v>
      </c>
      <c r="P683" s="47" t="str">
        <f>IF(AND('331-CT'!$F$5=TH!H683,OR(N683="331",O683="331")),"x","")</f>
        <v/>
      </c>
      <c r="Q683" s="47" t="str">
        <f>IF(AND(B683='111'!$L$11,OR($N683=$Q$7,$O683=$Q$7)),"x","")</f>
        <v/>
      </c>
      <c r="R683" s="47" t="str">
        <f>IF(AND($N683=$Q$7,$B683&lt;'111'!$L$11),"x","")</f>
        <v/>
      </c>
      <c r="S683" s="47" t="str">
        <f>IF(AND($O683=$Q$7,$B683&lt;'111'!$L$11),"x","")</f>
        <v>x</v>
      </c>
    </row>
    <row r="684" spans="1:19" ht="15.75" customHeight="1">
      <c r="A684" s="152" t="str">
        <f>IF(B684&lt;&gt;"",IF(AND(B684='IN-TC'!$S$4,OR(TH!N684="1111",TH!O684="1111")),TH!D684,""),"")</f>
        <v/>
      </c>
      <c r="B684" s="34">
        <f t="shared" si="24"/>
        <v>5</v>
      </c>
      <c r="C684" s="35">
        <f t="shared" si="25"/>
        <v>42501</v>
      </c>
      <c r="D684" s="212" t="s">
        <v>893</v>
      </c>
      <c r="E684" s="35">
        <v>42501</v>
      </c>
      <c r="F684" s="144" t="s">
        <v>479</v>
      </c>
      <c r="G684" s="191" t="s">
        <v>207</v>
      </c>
      <c r="H684" s="198"/>
      <c r="I684" s="186"/>
      <c r="J684" s="186"/>
      <c r="K684" s="185"/>
      <c r="L684" s="186"/>
      <c r="M684" s="36">
        <v>800000</v>
      </c>
      <c r="N684" s="37"/>
      <c r="O684" s="37" t="s">
        <v>34</v>
      </c>
      <c r="P684" s="47" t="str">
        <f>IF(AND('331-CT'!$F$5=TH!H684,OR(N684="331",O684="331")),"x","")</f>
        <v/>
      </c>
      <c r="Q684" s="47" t="str">
        <f>IF(AND(B684='111'!$L$11,OR($N684=$Q$7,$O684=$Q$7)),"x","")</f>
        <v/>
      </c>
      <c r="R684" s="47" t="str">
        <f>IF(AND($N684=$Q$7,$B684&lt;'111'!$L$11),"x","")</f>
        <v/>
      </c>
      <c r="S684" s="47" t="str">
        <f>IF(AND($O684=$Q$7,$B684&lt;'111'!$L$11),"x","")</f>
        <v>x</v>
      </c>
    </row>
    <row r="685" spans="1:19" ht="15.75" customHeight="1">
      <c r="A685" s="152" t="str">
        <f>IF(B685&lt;&gt;"",IF(AND(B685='IN-TC'!$S$4,OR(TH!N685="1111",TH!O685="1111")),TH!D685,""),"")</f>
        <v/>
      </c>
      <c r="B685" s="34">
        <f t="shared" si="24"/>
        <v>5</v>
      </c>
      <c r="C685" s="35">
        <f t="shared" si="25"/>
        <v>42501</v>
      </c>
      <c r="D685" s="212" t="s">
        <v>894</v>
      </c>
      <c r="E685" s="35">
        <v>42501</v>
      </c>
      <c r="F685" s="144" t="s">
        <v>631</v>
      </c>
      <c r="G685" s="191" t="s">
        <v>202</v>
      </c>
      <c r="H685" s="198"/>
      <c r="I685" s="186"/>
      <c r="J685" s="186"/>
      <c r="K685" s="185"/>
      <c r="L685" s="186"/>
      <c r="M685" s="36">
        <v>2890000</v>
      </c>
      <c r="N685" s="37"/>
      <c r="O685" s="37" t="s">
        <v>34</v>
      </c>
      <c r="P685" s="47" t="str">
        <f>IF(AND('331-CT'!$F$5=TH!H685,OR(N685="331",O685="331")),"x","")</f>
        <v/>
      </c>
      <c r="Q685" s="47" t="str">
        <f>IF(AND(B685='111'!$L$11,OR($N685=$Q$7,$O685=$Q$7)),"x","")</f>
        <v/>
      </c>
      <c r="R685" s="47" t="str">
        <f>IF(AND($N685=$Q$7,$B685&lt;'111'!$L$11),"x","")</f>
        <v/>
      </c>
      <c r="S685" s="47" t="str">
        <f>IF(AND($O685=$Q$7,$B685&lt;'111'!$L$11),"x","")</f>
        <v>x</v>
      </c>
    </row>
    <row r="686" spans="1:19" ht="15.75" customHeight="1">
      <c r="A686" s="152" t="str">
        <f>IF(B686&lt;&gt;"",IF(AND(B686='IN-TC'!$S$4,OR(TH!N686="1111",TH!O686="1111")),TH!D686,""),"")</f>
        <v/>
      </c>
      <c r="B686" s="34">
        <f t="shared" si="24"/>
        <v>5</v>
      </c>
      <c r="C686" s="35">
        <f t="shared" si="25"/>
        <v>42501</v>
      </c>
      <c r="D686" s="212" t="s">
        <v>895</v>
      </c>
      <c r="E686" s="35">
        <v>42501</v>
      </c>
      <c r="F686" s="144" t="s">
        <v>632</v>
      </c>
      <c r="G686" s="191" t="s">
        <v>202</v>
      </c>
      <c r="H686" s="198"/>
      <c r="I686" s="186"/>
      <c r="J686" s="186"/>
      <c r="K686" s="185"/>
      <c r="L686" s="186"/>
      <c r="M686" s="36">
        <v>470000</v>
      </c>
      <c r="N686" s="37"/>
      <c r="O686" s="37" t="s">
        <v>34</v>
      </c>
      <c r="P686" s="47" t="str">
        <f>IF(AND('331-CT'!$F$5=TH!H686,OR(N686="331",O686="331")),"x","")</f>
        <v/>
      </c>
      <c r="Q686" s="47" t="str">
        <f>IF(AND(B686='111'!$L$11,OR($N686=$Q$7,$O686=$Q$7)),"x","")</f>
        <v/>
      </c>
      <c r="R686" s="47" t="str">
        <f>IF(AND($N686=$Q$7,$B686&lt;'111'!$L$11),"x","")</f>
        <v/>
      </c>
      <c r="S686" s="47" t="str">
        <f>IF(AND($O686=$Q$7,$B686&lt;'111'!$L$11),"x","")</f>
        <v>x</v>
      </c>
    </row>
    <row r="687" spans="1:19" ht="15.75" customHeight="1">
      <c r="A687" s="152" t="str">
        <f>IF(B687&lt;&gt;"",IF(AND(B687='IN-TC'!$S$4,OR(TH!N687="1111",TH!O687="1111")),TH!D687,""),"")</f>
        <v/>
      </c>
      <c r="B687" s="34">
        <f t="shared" si="24"/>
        <v>5</v>
      </c>
      <c r="C687" s="35">
        <f t="shared" si="25"/>
        <v>42501</v>
      </c>
      <c r="D687" s="212" t="s">
        <v>896</v>
      </c>
      <c r="E687" s="35">
        <v>42501</v>
      </c>
      <c r="F687" s="144" t="s">
        <v>633</v>
      </c>
      <c r="G687" s="191" t="s">
        <v>207</v>
      </c>
      <c r="H687" s="198"/>
      <c r="I687" s="186"/>
      <c r="J687" s="186"/>
      <c r="K687" s="185"/>
      <c r="L687" s="186"/>
      <c r="M687" s="36">
        <v>360000</v>
      </c>
      <c r="N687" s="37"/>
      <c r="O687" s="37" t="s">
        <v>34</v>
      </c>
      <c r="P687" s="47" t="str">
        <f>IF(AND('331-CT'!$F$5=TH!H687,OR(N687="331",O687="331")),"x","")</f>
        <v/>
      </c>
      <c r="Q687" s="47" t="str">
        <f>IF(AND(B687='111'!$L$11,OR($N687=$Q$7,$O687=$Q$7)),"x","")</f>
        <v/>
      </c>
      <c r="R687" s="47" t="str">
        <f>IF(AND($N687=$Q$7,$B687&lt;'111'!$L$11),"x","")</f>
        <v/>
      </c>
      <c r="S687" s="47" t="str">
        <f>IF(AND($O687=$Q$7,$B687&lt;'111'!$L$11),"x","")</f>
        <v>x</v>
      </c>
    </row>
    <row r="688" spans="1:19" ht="15.75" customHeight="1">
      <c r="A688" s="152" t="str">
        <f>IF(B688&lt;&gt;"",IF(AND(B688='IN-TC'!$S$4,OR(TH!N688="1111",TH!O688="1111")),TH!D688,""),"")</f>
        <v/>
      </c>
      <c r="B688" s="34">
        <f t="shared" si="24"/>
        <v>5</v>
      </c>
      <c r="C688" s="35">
        <f t="shared" si="25"/>
        <v>42501</v>
      </c>
      <c r="D688" s="212" t="s">
        <v>897</v>
      </c>
      <c r="E688" s="35">
        <v>42501</v>
      </c>
      <c r="F688" s="144" t="s">
        <v>634</v>
      </c>
      <c r="G688" s="191" t="s">
        <v>206</v>
      </c>
      <c r="H688" s="198" t="s">
        <v>837</v>
      </c>
      <c r="I688" s="186"/>
      <c r="J688" s="186"/>
      <c r="K688" s="185"/>
      <c r="L688" s="186"/>
      <c r="M688" s="36">
        <v>228000000</v>
      </c>
      <c r="N688" s="37" t="s">
        <v>8</v>
      </c>
      <c r="O688" s="37" t="s">
        <v>34</v>
      </c>
      <c r="P688" s="47" t="str">
        <f>IF(AND('331-CT'!$F$5=TH!H688,OR(N688="331",O688="331")),"x","")</f>
        <v/>
      </c>
      <c r="Q688" s="47" t="str">
        <f>IF(AND(B688='111'!$L$11,OR($N688=$Q$7,$O688=$Q$7)),"x","")</f>
        <v/>
      </c>
      <c r="R688" s="47" t="str">
        <f>IF(AND($N688=$Q$7,$B688&lt;'111'!$L$11),"x","")</f>
        <v/>
      </c>
      <c r="S688" s="47" t="str">
        <f>IF(AND($O688=$Q$7,$B688&lt;'111'!$L$11),"x","")</f>
        <v>x</v>
      </c>
    </row>
    <row r="689" spans="1:19" ht="15.75" customHeight="1">
      <c r="A689" s="152" t="str">
        <f>IF(B689&lt;&gt;"",IF(AND(B689='IN-TC'!$S$4,OR(TH!N689="1111",TH!O689="1111")),TH!D689,""),"")</f>
        <v/>
      </c>
      <c r="B689" s="34">
        <f t="shared" si="24"/>
        <v>5</v>
      </c>
      <c r="C689" s="35">
        <f t="shared" si="25"/>
        <v>42501</v>
      </c>
      <c r="D689" s="212" t="s">
        <v>898</v>
      </c>
      <c r="E689" s="35">
        <v>42501</v>
      </c>
      <c r="F689" s="144" t="s">
        <v>299</v>
      </c>
      <c r="G689" s="191" t="s">
        <v>206</v>
      </c>
      <c r="H689" s="198" t="s">
        <v>846</v>
      </c>
      <c r="I689" s="186"/>
      <c r="J689" s="186"/>
      <c r="K689" s="185"/>
      <c r="L689" s="186"/>
      <c r="M689" s="36">
        <v>100000000</v>
      </c>
      <c r="N689" s="37" t="s">
        <v>8</v>
      </c>
      <c r="O689" s="37" t="s">
        <v>34</v>
      </c>
      <c r="P689" s="47" t="str">
        <f>IF(AND('331-CT'!$F$5=TH!H689,OR(N689="331",O689="331")),"x","")</f>
        <v/>
      </c>
      <c r="Q689" s="47" t="str">
        <f>IF(AND(B689='111'!$L$11,OR($N689=$Q$7,$O689=$Q$7)),"x","")</f>
        <v/>
      </c>
      <c r="R689" s="47" t="str">
        <f>IF(AND($N689=$Q$7,$B689&lt;'111'!$L$11),"x","")</f>
        <v/>
      </c>
      <c r="S689" s="47" t="str">
        <f>IF(AND($O689=$Q$7,$B689&lt;'111'!$L$11),"x","")</f>
        <v>x</v>
      </c>
    </row>
    <row r="690" spans="1:19" ht="15.75" customHeight="1">
      <c r="A690" s="152" t="str">
        <f>IF(B690&lt;&gt;"",IF(AND(B690='IN-TC'!$S$4,OR(TH!N690="1111",TH!O690="1111")),TH!D690,""),"")</f>
        <v/>
      </c>
      <c r="B690" s="34">
        <f t="shared" si="24"/>
        <v>5</v>
      </c>
      <c r="C690" s="35">
        <f t="shared" si="25"/>
        <v>42501</v>
      </c>
      <c r="D690" s="212" t="s">
        <v>899</v>
      </c>
      <c r="E690" s="35">
        <v>42501</v>
      </c>
      <c r="F690" s="144" t="s">
        <v>600</v>
      </c>
      <c r="G690" s="191" t="s">
        <v>206</v>
      </c>
      <c r="H690" s="198" t="s">
        <v>830</v>
      </c>
      <c r="I690" s="186"/>
      <c r="J690" s="186"/>
      <c r="K690" s="185"/>
      <c r="L690" s="186"/>
      <c r="M690" s="36">
        <v>13097000</v>
      </c>
      <c r="N690" s="37" t="s">
        <v>8</v>
      </c>
      <c r="O690" s="37" t="s">
        <v>34</v>
      </c>
      <c r="P690" s="47" t="str">
        <f>IF(AND('331-CT'!$F$5=TH!H690,OR(N690="331",O690="331")),"x","")</f>
        <v/>
      </c>
      <c r="Q690" s="47" t="str">
        <f>IF(AND(B690='111'!$L$11,OR($N690=$Q$7,$O690=$Q$7)),"x","")</f>
        <v/>
      </c>
      <c r="R690" s="47" t="str">
        <f>IF(AND($N690=$Q$7,$B690&lt;'111'!$L$11),"x","")</f>
        <v/>
      </c>
      <c r="S690" s="47" t="str">
        <f>IF(AND($O690=$Q$7,$B690&lt;'111'!$L$11),"x","")</f>
        <v>x</v>
      </c>
    </row>
    <row r="691" spans="1:19" ht="15.75" customHeight="1">
      <c r="A691" s="152" t="str">
        <f>IF(B691&lt;&gt;"",IF(AND(B691='IN-TC'!$S$4,OR(TH!N691="1111",TH!O691="1111")),TH!D691,""),"")</f>
        <v/>
      </c>
      <c r="B691" s="34">
        <f t="shared" si="24"/>
        <v>5</v>
      </c>
      <c r="C691" s="35">
        <f t="shared" si="25"/>
        <v>42501</v>
      </c>
      <c r="D691" s="212" t="s">
        <v>900</v>
      </c>
      <c r="E691" s="35">
        <v>42501</v>
      </c>
      <c r="F691" s="144" t="s">
        <v>635</v>
      </c>
      <c r="G691" s="191" t="s">
        <v>214</v>
      </c>
      <c r="H691" s="198"/>
      <c r="I691" s="186"/>
      <c r="J691" s="186"/>
      <c r="K691" s="185"/>
      <c r="L691" s="186"/>
      <c r="M691" s="36">
        <v>120000</v>
      </c>
      <c r="N691" s="37"/>
      <c r="O691" s="37" t="s">
        <v>34</v>
      </c>
      <c r="P691" s="47" t="str">
        <f>IF(AND('331-CT'!$F$5=TH!H691,OR(N691="331",O691="331")),"x","")</f>
        <v/>
      </c>
      <c r="Q691" s="47" t="str">
        <f>IF(AND(B691='111'!$L$11,OR($N691=$Q$7,$O691=$Q$7)),"x","")</f>
        <v/>
      </c>
      <c r="R691" s="47" t="str">
        <f>IF(AND($N691=$Q$7,$B691&lt;'111'!$L$11),"x","")</f>
        <v/>
      </c>
      <c r="S691" s="47" t="str">
        <f>IF(AND($O691=$Q$7,$B691&lt;'111'!$L$11),"x","")</f>
        <v>x</v>
      </c>
    </row>
    <row r="692" spans="1:19" ht="15.75" customHeight="1">
      <c r="A692" s="152" t="str">
        <f>IF(B692&lt;&gt;"",IF(AND(B692='IN-TC'!$S$4,OR(TH!N692="1111",TH!O692="1111")),TH!D692,""),"")</f>
        <v/>
      </c>
      <c r="B692" s="34">
        <f t="shared" si="24"/>
        <v>5</v>
      </c>
      <c r="C692" s="35">
        <f t="shared" si="25"/>
        <v>42501</v>
      </c>
      <c r="D692" s="212"/>
      <c r="E692" s="35">
        <v>42501</v>
      </c>
      <c r="F692" s="144" t="s">
        <v>1467</v>
      </c>
      <c r="G692" s="191"/>
      <c r="H692" s="198" t="s">
        <v>831</v>
      </c>
      <c r="I692" s="186">
        <v>560</v>
      </c>
      <c r="J692" s="186">
        <v>15000</v>
      </c>
      <c r="K692" s="185"/>
      <c r="L692" s="186"/>
      <c r="M692" s="36">
        <f>ROUND(I692*J692,0)</f>
        <v>8400000</v>
      </c>
      <c r="N692" s="37" t="s">
        <v>1443</v>
      </c>
      <c r="O692" s="37" t="s">
        <v>8</v>
      </c>
      <c r="P692" s="47" t="str">
        <f>IF(AND('331-CT'!$F$5=TH!H692,OR(N692="331",O692="331")),"x","")</f>
        <v/>
      </c>
      <c r="Q692" s="47" t="str">
        <f>IF(AND(B692='111'!$L$11,OR($N692=$Q$7,$O692=$Q$7)),"x","")</f>
        <v/>
      </c>
      <c r="R692" s="47" t="str">
        <f>IF(AND($N692=$Q$7,$B692&lt;'111'!$L$11),"x","")</f>
        <v/>
      </c>
      <c r="S692" s="47" t="str">
        <f>IF(AND($O692=$Q$7,$B692&lt;'111'!$L$11),"x","")</f>
        <v/>
      </c>
    </row>
    <row r="693" spans="1:19" ht="15.75" customHeight="1">
      <c r="A693" s="152" t="str">
        <f>IF(B693&lt;&gt;"",IF(AND(B693='IN-TC'!$S$4,OR(TH!N693="1111",TH!O693="1111")),TH!D693,""),"")</f>
        <v/>
      </c>
      <c r="B693" s="34">
        <f t="shared" si="24"/>
        <v>5</v>
      </c>
      <c r="C693" s="35">
        <f t="shared" si="25"/>
        <v>42501</v>
      </c>
      <c r="D693" s="212"/>
      <c r="E693" s="35">
        <v>42501</v>
      </c>
      <c r="F693" s="144" t="s">
        <v>1466</v>
      </c>
      <c r="G693" s="191"/>
      <c r="H693" s="198" t="s">
        <v>840</v>
      </c>
      <c r="I693" s="186">
        <v>2975</v>
      </c>
      <c r="J693" s="186">
        <v>15000</v>
      </c>
      <c r="K693" s="185"/>
      <c r="L693" s="186"/>
      <c r="M693" s="36">
        <f>ROUND(I693*J693,0)</f>
        <v>44625000</v>
      </c>
      <c r="N693" s="37" t="s">
        <v>1443</v>
      </c>
      <c r="O693" s="37" t="s">
        <v>8</v>
      </c>
      <c r="P693" s="47" t="str">
        <f>IF(AND('331-CT'!$F$5=TH!H693,OR(N693="331",O693="331")),"x","")</f>
        <v/>
      </c>
      <c r="Q693" s="47" t="str">
        <f>IF(AND(B693='111'!$L$11,OR($N693=$Q$7,$O693=$Q$7)),"x","")</f>
        <v/>
      </c>
      <c r="R693" s="47" t="str">
        <f>IF(AND($N693=$Q$7,$B693&lt;'111'!$L$11),"x","")</f>
        <v/>
      </c>
      <c r="S693" s="47" t="str">
        <f>IF(AND($O693=$Q$7,$B693&lt;'111'!$L$11),"x","")</f>
        <v/>
      </c>
    </row>
    <row r="694" spans="1:19" ht="15.75" customHeight="1">
      <c r="A694" s="152" t="str">
        <f>IF(B694&lt;&gt;"",IF(AND(B694='IN-TC'!$S$4,OR(TH!N694="1111",TH!O694="1111")),TH!D694,""),"")</f>
        <v/>
      </c>
      <c r="B694" s="34">
        <f t="shared" si="24"/>
        <v>5</v>
      </c>
      <c r="C694" s="35">
        <f t="shared" si="25"/>
        <v>42501</v>
      </c>
      <c r="D694" s="212"/>
      <c r="E694" s="35">
        <v>42501</v>
      </c>
      <c r="F694" s="144" t="s">
        <v>1535</v>
      </c>
      <c r="G694" s="191"/>
      <c r="H694" s="198" t="s">
        <v>829</v>
      </c>
      <c r="I694" s="186">
        <v>100</v>
      </c>
      <c r="J694" s="186">
        <v>165000</v>
      </c>
      <c r="K694" s="185"/>
      <c r="L694" s="186"/>
      <c r="M694" s="36">
        <f>ROUND(I694*J694,-3)</f>
        <v>16500000</v>
      </c>
      <c r="N694" s="37" t="s">
        <v>1443</v>
      </c>
      <c r="O694" s="37" t="s">
        <v>8</v>
      </c>
      <c r="P694" s="47" t="str">
        <f>IF(AND('331-CT'!$F$5=TH!H694,OR(N694="331",O694="331")),"x","")</f>
        <v/>
      </c>
      <c r="Q694" s="47" t="str">
        <f>IF(AND(B694='111'!$L$11,OR($N694=$Q$7,$O694=$Q$7)),"x","")</f>
        <v/>
      </c>
      <c r="R694" s="47" t="str">
        <f>IF(AND($N694=$Q$7,$B694&lt;'111'!$L$11),"x","")</f>
        <v/>
      </c>
      <c r="S694" s="47" t="str">
        <f>IF(AND($O694=$Q$7,$B694&lt;'111'!$L$11),"x","")</f>
        <v/>
      </c>
    </row>
    <row r="695" spans="1:19" ht="15.75" customHeight="1">
      <c r="A695" s="152" t="str">
        <f>IF(B695&lt;&gt;"",IF(AND(B695='IN-TC'!$S$4,OR(TH!N695="1111",TH!O695="1111")),TH!D695,""),"")</f>
        <v/>
      </c>
      <c r="B695" s="34">
        <f t="shared" si="24"/>
        <v>5</v>
      </c>
      <c r="C695" s="35">
        <f t="shared" si="25"/>
        <v>42501</v>
      </c>
      <c r="D695" s="212"/>
      <c r="E695" s="35">
        <v>42501</v>
      </c>
      <c r="F695" s="144" t="s">
        <v>1536</v>
      </c>
      <c r="G695" s="191"/>
      <c r="H695" s="198" t="s">
        <v>829</v>
      </c>
      <c r="I695" s="186">
        <v>94</v>
      </c>
      <c r="J695" s="186">
        <v>165000</v>
      </c>
      <c r="K695" s="185"/>
      <c r="L695" s="186"/>
      <c r="M695" s="36">
        <f>ROUND(I695*J695,-3)</f>
        <v>15510000</v>
      </c>
      <c r="N695" s="37" t="s">
        <v>1443</v>
      </c>
      <c r="O695" s="37" t="s">
        <v>8</v>
      </c>
      <c r="P695" s="47" t="str">
        <f>IF(AND('331-CT'!$F$5=TH!H695,OR(N695="331",O695="331")),"x","")</f>
        <v/>
      </c>
      <c r="Q695" s="47" t="str">
        <f>IF(AND(B695='111'!$L$11,OR($N695=$Q$7,$O695=$Q$7)),"x","")</f>
        <v/>
      </c>
      <c r="R695" s="47" t="str">
        <f>IF(AND($N695=$Q$7,$B695&lt;'111'!$L$11),"x","")</f>
        <v/>
      </c>
      <c r="S695" s="47" t="str">
        <f>IF(AND($O695=$Q$7,$B695&lt;'111'!$L$11),"x","")</f>
        <v/>
      </c>
    </row>
    <row r="696" spans="1:19" ht="15.75" customHeight="1">
      <c r="A696" s="152" t="str">
        <f>IF(B696&lt;&gt;"",IF(AND(B696='IN-TC'!$S$4,OR(TH!N696="1111",TH!O696="1111")),TH!D696,""),"")</f>
        <v/>
      </c>
      <c r="B696" s="34">
        <f t="shared" si="24"/>
        <v>5</v>
      </c>
      <c r="C696" s="35">
        <f t="shared" si="25"/>
        <v>42501</v>
      </c>
      <c r="D696" s="212"/>
      <c r="E696" s="35">
        <v>42501</v>
      </c>
      <c r="F696" s="144" t="s">
        <v>1537</v>
      </c>
      <c r="G696" s="191"/>
      <c r="H696" s="198" t="s">
        <v>829</v>
      </c>
      <c r="I696" s="186">
        <v>6</v>
      </c>
      <c r="J696" s="186">
        <v>165000</v>
      </c>
      <c r="K696" s="185"/>
      <c r="L696" s="186"/>
      <c r="M696" s="36">
        <f>ROUND(I696*J696,-3)</f>
        <v>990000</v>
      </c>
      <c r="N696" s="37" t="s">
        <v>1443</v>
      </c>
      <c r="O696" s="37" t="s">
        <v>8</v>
      </c>
      <c r="P696" s="47" t="str">
        <f>IF(AND('331-CT'!$F$5=TH!H696,OR(N696="331",O696="331")),"x","")</f>
        <v/>
      </c>
      <c r="Q696" s="47" t="str">
        <f>IF(AND(B696='111'!$L$11,OR($N696=$Q$7,$O696=$Q$7)),"x","")</f>
        <v/>
      </c>
      <c r="R696" s="47" t="str">
        <f>IF(AND($N696=$Q$7,$B696&lt;'111'!$L$11),"x","")</f>
        <v/>
      </c>
      <c r="S696" s="47" t="str">
        <f>IF(AND($O696=$Q$7,$B696&lt;'111'!$L$11),"x","")</f>
        <v/>
      </c>
    </row>
    <row r="697" spans="1:19" ht="15.75" customHeight="1">
      <c r="A697" s="152" t="str">
        <f>IF(B697&lt;&gt;"",IF(AND(B697='IN-TC'!$S$4,OR(TH!N697="1111",TH!O697="1111")),TH!D697,""),"")</f>
        <v/>
      </c>
      <c r="B697" s="34">
        <f t="shared" si="24"/>
        <v>5</v>
      </c>
      <c r="C697" s="35">
        <f t="shared" si="25"/>
        <v>42502</v>
      </c>
      <c r="D697" s="212" t="s">
        <v>939</v>
      </c>
      <c r="E697" s="35">
        <v>42502</v>
      </c>
      <c r="F697" s="144" t="s">
        <v>155</v>
      </c>
      <c r="G697" s="191" t="s">
        <v>104</v>
      </c>
      <c r="H697" s="198"/>
      <c r="I697" s="186"/>
      <c r="J697" s="186"/>
      <c r="K697" s="185"/>
      <c r="L697" s="186"/>
      <c r="M697" s="36">
        <v>250000000</v>
      </c>
      <c r="N697" s="37" t="s">
        <v>34</v>
      </c>
      <c r="O697" s="37"/>
      <c r="P697" s="47" t="str">
        <f>IF(AND('331-CT'!$F$5=TH!H697,OR(N697="331",O697="331")),"x","")</f>
        <v/>
      </c>
      <c r="Q697" s="47" t="str">
        <f>IF(AND(B697='111'!$L$11,OR($N697=$Q$7,$O697=$Q$7)),"x","")</f>
        <v/>
      </c>
      <c r="R697" s="47" t="str">
        <f>IF(AND($N697=$Q$7,$B697&lt;'111'!$L$11),"x","")</f>
        <v>x</v>
      </c>
      <c r="S697" s="47" t="str">
        <f>IF(AND($O697=$Q$7,$B697&lt;'111'!$L$11),"x","")</f>
        <v/>
      </c>
    </row>
    <row r="698" spans="1:19" ht="15.75" customHeight="1">
      <c r="A698" s="152" t="str">
        <f>IF(B698&lt;&gt;"",IF(AND(B698='IN-TC'!$S$4,OR(TH!N698="1111",TH!O698="1111")),TH!D698,""),"")</f>
        <v/>
      </c>
      <c r="B698" s="34">
        <f t="shared" si="24"/>
        <v>5</v>
      </c>
      <c r="C698" s="35">
        <f t="shared" si="25"/>
        <v>42502</v>
      </c>
      <c r="D698" s="212" t="s">
        <v>930</v>
      </c>
      <c r="E698" s="35">
        <v>42502</v>
      </c>
      <c r="F698" s="144" t="s">
        <v>174</v>
      </c>
      <c r="G698" s="191" t="s">
        <v>108</v>
      </c>
      <c r="H698" s="198"/>
      <c r="I698" s="186"/>
      <c r="J698" s="186"/>
      <c r="K698" s="185"/>
      <c r="L698" s="186"/>
      <c r="M698" s="36">
        <v>5395000</v>
      </c>
      <c r="N698" s="37" t="s">
        <v>34</v>
      </c>
      <c r="O698" s="37"/>
      <c r="P698" s="47" t="str">
        <f>IF(AND('331-CT'!$F$5=TH!H698,OR(N698="331",O698="331")),"x","")</f>
        <v/>
      </c>
      <c r="Q698" s="47" t="str">
        <f>IF(AND(B698='111'!$L$11,OR($N698=$Q$7,$O698=$Q$7)),"x","")</f>
        <v/>
      </c>
      <c r="R698" s="47" t="str">
        <f>IF(AND($N698=$Q$7,$B698&lt;'111'!$L$11),"x","")</f>
        <v>x</v>
      </c>
      <c r="S698" s="47" t="str">
        <f>IF(AND($O698=$Q$7,$B698&lt;'111'!$L$11),"x","")</f>
        <v/>
      </c>
    </row>
    <row r="699" spans="1:19" ht="15.75" customHeight="1">
      <c r="A699" s="152" t="str">
        <f>IF(B699&lt;&gt;"",IF(AND(B699='IN-TC'!$S$4,OR(TH!N699="1111",TH!O699="1111")),TH!D699,""),"")</f>
        <v/>
      </c>
      <c r="B699" s="34">
        <f t="shared" si="24"/>
        <v>5</v>
      </c>
      <c r="C699" s="35">
        <f t="shared" si="25"/>
        <v>42502</v>
      </c>
      <c r="D699" s="212" t="s">
        <v>901</v>
      </c>
      <c r="E699" s="35">
        <v>42502</v>
      </c>
      <c r="F699" s="144" t="s">
        <v>243</v>
      </c>
      <c r="G699" s="191" t="s">
        <v>206</v>
      </c>
      <c r="H699" s="198" t="s">
        <v>824</v>
      </c>
      <c r="I699" s="186"/>
      <c r="J699" s="186"/>
      <c r="K699" s="185"/>
      <c r="L699" s="186"/>
      <c r="M699" s="36">
        <v>400000000</v>
      </c>
      <c r="N699" s="37" t="s">
        <v>8</v>
      </c>
      <c r="O699" s="37" t="s">
        <v>34</v>
      </c>
      <c r="P699" s="47" t="str">
        <f>IF(AND('331-CT'!$F$5=TH!H699,OR(N699="331",O699="331")),"x","")</f>
        <v/>
      </c>
      <c r="Q699" s="47" t="str">
        <f>IF(AND(B699='111'!$L$11,OR($N699=$Q$7,$O699=$Q$7)),"x","")</f>
        <v/>
      </c>
      <c r="R699" s="47" t="str">
        <f>IF(AND($N699=$Q$7,$B699&lt;'111'!$L$11),"x","")</f>
        <v/>
      </c>
      <c r="S699" s="47" t="str">
        <f>IF(AND($O699=$Q$7,$B699&lt;'111'!$L$11),"x","")</f>
        <v>x</v>
      </c>
    </row>
    <row r="700" spans="1:19" ht="15.75" customHeight="1">
      <c r="A700" s="152" t="str">
        <f>IF(B700&lt;&gt;"",IF(AND(B700='IN-TC'!$S$4,OR(TH!N700="1111",TH!O700="1111")),TH!D700,""),"")</f>
        <v/>
      </c>
      <c r="B700" s="34">
        <f t="shared" si="24"/>
        <v>5</v>
      </c>
      <c r="C700" s="35">
        <f t="shared" si="25"/>
        <v>42502</v>
      </c>
      <c r="D700" s="212" t="s">
        <v>902</v>
      </c>
      <c r="E700" s="35">
        <v>42502</v>
      </c>
      <c r="F700" s="144" t="s">
        <v>636</v>
      </c>
      <c r="G700" s="191" t="s">
        <v>206</v>
      </c>
      <c r="H700" s="198" t="s">
        <v>840</v>
      </c>
      <c r="I700" s="186"/>
      <c r="J700" s="186"/>
      <c r="K700" s="185"/>
      <c r="L700" s="186"/>
      <c r="M700" s="36">
        <v>150000000</v>
      </c>
      <c r="N700" s="37" t="s">
        <v>8</v>
      </c>
      <c r="O700" s="37" t="s">
        <v>34</v>
      </c>
      <c r="P700" s="47" t="str">
        <f>IF(AND('331-CT'!$F$5=TH!H700,OR(N700="331",O700="331")),"x","")</f>
        <v/>
      </c>
      <c r="Q700" s="47" t="str">
        <f>IF(AND(B700='111'!$L$11,OR($N700=$Q$7,$O700=$Q$7)),"x","")</f>
        <v/>
      </c>
      <c r="R700" s="47" t="str">
        <f>IF(AND($N700=$Q$7,$B700&lt;'111'!$L$11),"x","")</f>
        <v/>
      </c>
      <c r="S700" s="47" t="str">
        <f>IF(AND($O700=$Q$7,$B700&lt;'111'!$L$11),"x","")</f>
        <v>x</v>
      </c>
    </row>
    <row r="701" spans="1:19" ht="15.75" customHeight="1">
      <c r="A701" s="152" t="str">
        <f>IF(B701&lt;&gt;"",IF(AND(B701='IN-TC'!$S$4,OR(TH!N701="1111",TH!O701="1111")),TH!D701,""),"")</f>
        <v/>
      </c>
      <c r="B701" s="34">
        <f t="shared" si="24"/>
        <v>5</v>
      </c>
      <c r="C701" s="35">
        <f t="shared" si="25"/>
        <v>42502</v>
      </c>
      <c r="D701" s="212" t="s">
        <v>903</v>
      </c>
      <c r="E701" s="35">
        <v>42502</v>
      </c>
      <c r="F701" s="144" t="s">
        <v>637</v>
      </c>
      <c r="G701" s="191" t="s">
        <v>206</v>
      </c>
      <c r="H701" s="198" t="s">
        <v>836</v>
      </c>
      <c r="I701" s="186"/>
      <c r="J701" s="186"/>
      <c r="K701" s="185"/>
      <c r="L701" s="186"/>
      <c r="M701" s="36">
        <v>100000000</v>
      </c>
      <c r="N701" s="37" t="s">
        <v>8</v>
      </c>
      <c r="O701" s="37" t="s">
        <v>34</v>
      </c>
      <c r="P701" s="47" t="str">
        <f>IF(AND('331-CT'!$F$5=TH!H701,OR(N701="331",O701="331")),"x","")</f>
        <v/>
      </c>
      <c r="Q701" s="47" t="str">
        <f>IF(AND(B701='111'!$L$11,OR($N701=$Q$7,$O701=$Q$7)),"x","")</f>
        <v/>
      </c>
      <c r="R701" s="47" t="str">
        <f>IF(AND($N701=$Q$7,$B701&lt;'111'!$L$11),"x","")</f>
        <v/>
      </c>
      <c r="S701" s="47" t="str">
        <f>IF(AND($O701=$Q$7,$B701&lt;'111'!$L$11),"x","")</f>
        <v>x</v>
      </c>
    </row>
    <row r="702" spans="1:19" ht="15.75" customHeight="1">
      <c r="A702" s="152" t="str">
        <f>IF(B702&lt;&gt;"",IF(AND(B702='IN-TC'!$S$4,OR(TH!N702="1111",TH!O702="1111")),TH!D702,""),"")</f>
        <v/>
      </c>
      <c r="B702" s="34">
        <f t="shared" si="24"/>
        <v>5</v>
      </c>
      <c r="C702" s="35">
        <f t="shared" si="25"/>
        <v>42502</v>
      </c>
      <c r="D702" s="212" t="s">
        <v>904</v>
      </c>
      <c r="E702" s="35">
        <v>42502</v>
      </c>
      <c r="F702" s="144" t="s">
        <v>368</v>
      </c>
      <c r="G702" s="191" t="s">
        <v>204</v>
      </c>
      <c r="H702" s="198"/>
      <c r="I702" s="186"/>
      <c r="J702" s="186"/>
      <c r="K702" s="185"/>
      <c r="L702" s="186"/>
      <c r="M702" s="36">
        <v>20000000</v>
      </c>
      <c r="N702" s="37"/>
      <c r="O702" s="37" t="s">
        <v>34</v>
      </c>
      <c r="P702" s="47" t="str">
        <f>IF(AND('331-CT'!$F$5=TH!H702,OR(N702="331",O702="331")),"x","")</f>
        <v/>
      </c>
      <c r="Q702" s="47" t="str">
        <f>IF(AND(B702='111'!$L$11,OR($N702=$Q$7,$O702=$Q$7)),"x","")</f>
        <v/>
      </c>
      <c r="R702" s="47" t="str">
        <f>IF(AND($N702=$Q$7,$B702&lt;'111'!$L$11),"x","")</f>
        <v/>
      </c>
      <c r="S702" s="47" t="str">
        <f>IF(AND($O702=$Q$7,$B702&lt;'111'!$L$11),"x","")</f>
        <v>x</v>
      </c>
    </row>
    <row r="703" spans="1:19" ht="15.75" customHeight="1">
      <c r="A703" s="152" t="str">
        <f>IF(B703&lt;&gt;"",IF(AND(B703='IN-TC'!$S$4,OR(TH!N703="1111",TH!O703="1111")),TH!D703,""),"")</f>
        <v/>
      </c>
      <c r="B703" s="34">
        <f t="shared" si="24"/>
        <v>5</v>
      </c>
      <c r="C703" s="35">
        <f t="shared" si="25"/>
        <v>42502</v>
      </c>
      <c r="D703" s="212" t="s">
        <v>905</v>
      </c>
      <c r="E703" s="35">
        <v>42502</v>
      </c>
      <c r="F703" s="144" t="s">
        <v>491</v>
      </c>
      <c r="G703" s="191" t="s">
        <v>206</v>
      </c>
      <c r="H703" s="198" t="s">
        <v>827</v>
      </c>
      <c r="I703" s="186"/>
      <c r="J703" s="186"/>
      <c r="K703" s="185"/>
      <c r="L703" s="186"/>
      <c r="M703" s="36">
        <v>222086000</v>
      </c>
      <c r="N703" s="37" t="s">
        <v>8</v>
      </c>
      <c r="O703" s="37" t="s">
        <v>34</v>
      </c>
      <c r="P703" s="47" t="str">
        <f>IF(AND('331-CT'!$F$5=TH!H703,OR(N703="331",O703="331")),"x","")</f>
        <v/>
      </c>
      <c r="Q703" s="47" t="str">
        <f>IF(AND(B703='111'!$L$11,OR($N703=$Q$7,$O703=$Q$7)),"x","")</f>
        <v/>
      </c>
      <c r="R703" s="47" t="str">
        <f>IF(AND($N703=$Q$7,$B703&lt;'111'!$L$11),"x","")</f>
        <v/>
      </c>
      <c r="S703" s="47" t="str">
        <f>IF(AND($O703=$Q$7,$B703&lt;'111'!$L$11),"x","")</f>
        <v>x</v>
      </c>
    </row>
    <row r="704" spans="1:19" ht="15.75" customHeight="1">
      <c r="A704" s="152" t="str">
        <f>IF(B704&lt;&gt;"",IF(AND(B704='IN-TC'!$S$4,OR(TH!N704="1111",TH!O704="1111")),TH!D704,""),"")</f>
        <v/>
      </c>
      <c r="B704" s="34">
        <f t="shared" si="24"/>
        <v>5</v>
      </c>
      <c r="C704" s="35">
        <f t="shared" si="25"/>
        <v>42502</v>
      </c>
      <c r="D704" s="212" t="s">
        <v>906</v>
      </c>
      <c r="E704" s="35">
        <v>42502</v>
      </c>
      <c r="F704" s="144" t="s">
        <v>638</v>
      </c>
      <c r="G704" s="191" t="s">
        <v>219</v>
      </c>
      <c r="H704" s="198"/>
      <c r="I704" s="186"/>
      <c r="J704" s="186"/>
      <c r="K704" s="185"/>
      <c r="L704" s="186"/>
      <c r="M704" s="36">
        <v>800000</v>
      </c>
      <c r="N704" s="37"/>
      <c r="O704" s="37" t="s">
        <v>34</v>
      </c>
      <c r="P704" s="47" t="str">
        <f>IF(AND('331-CT'!$F$5=TH!H704,OR(N704="331",O704="331")),"x","")</f>
        <v/>
      </c>
      <c r="Q704" s="47" t="str">
        <f>IF(AND(B704='111'!$L$11,OR($N704=$Q$7,$O704=$Q$7)),"x","")</f>
        <v/>
      </c>
      <c r="R704" s="47" t="str">
        <f>IF(AND($N704=$Q$7,$B704&lt;'111'!$L$11),"x","")</f>
        <v/>
      </c>
      <c r="S704" s="47" t="str">
        <f>IF(AND($O704=$Q$7,$B704&lt;'111'!$L$11),"x","")</f>
        <v>x</v>
      </c>
    </row>
    <row r="705" spans="1:19" ht="15.75" customHeight="1">
      <c r="A705" s="152" t="str">
        <f>IF(B705&lt;&gt;"",IF(AND(B705='IN-TC'!$S$4,OR(TH!N705="1111",TH!O705="1111")),TH!D705,""),"")</f>
        <v/>
      </c>
      <c r="B705" s="34">
        <f t="shared" si="24"/>
        <v>5</v>
      </c>
      <c r="C705" s="35">
        <f t="shared" si="25"/>
        <v>42502</v>
      </c>
      <c r="D705" s="212" t="s">
        <v>907</v>
      </c>
      <c r="E705" s="35">
        <v>42502</v>
      </c>
      <c r="F705" s="144" t="s">
        <v>639</v>
      </c>
      <c r="G705" s="191" t="s">
        <v>111</v>
      </c>
      <c r="H705" s="198"/>
      <c r="I705" s="186"/>
      <c r="J705" s="186"/>
      <c r="K705" s="185"/>
      <c r="L705" s="186"/>
      <c r="M705" s="36">
        <v>200000</v>
      </c>
      <c r="N705" s="37"/>
      <c r="O705" s="37" t="s">
        <v>34</v>
      </c>
      <c r="P705" s="47" t="str">
        <f>IF(AND('331-CT'!$F$5=TH!H705,OR(N705="331",O705="331")),"x","")</f>
        <v/>
      </c>
      <c r="Q705" s="47" t="str">
        <f>IF(AND(B705='111'!$L$11,OR($N705=$Q$7,$O705=$Q$7)),"x","")</f>
        <v/>
      </c>
      <c r="R705" s="47" t="str">
        <f>IF(AND($N705=$Q$7,$B705&lt;'111'!$L$11),"x","")</f>
        <v/>
      </c>
      <c r="S705" s="47" t="str">
        <f>IF(AND($O705=$Q$7,$B705&lt;'111'!$L$11),"x","")</f>
        <v>x</v>
      </c>
    </row>
    <row r="706" spans="1:19" ht="15.75" customHeight="1">
      <c r="A706" s="152" t="str">
        <f>IF(B706&lt;&gt;"",IF(AND(B706='IN-TC'!$S$4,OR(TH!N706="1111",TH!O706="1111")),TH!D706,""),"")</f>
        <v/>
      </c>
      <c r="B706" s="34">
        <f t="shared" si="24"/>
        <v>5</v>
      </c>
      <c r="C706" s="35">
        <f t="shared" si="25"/>
        <v>42502</v>
      </c>
      <c r="D706" s="212" t="s">
        <v>908</v>
      </c>
      <c r="E706" s="35">
        <v>42502</v>
      </c>
      <c r="F706" s="144" t="s">
        <v>640</v>
      </c>
      <c r="G706" s="191" t="s">
        <v>214</v>
      </c>
      <c r="H706" s="198"/>
      <c r="I706" s="186"/>
      <c r="J706" s="186"/>
      <c r="K706" s="185"/>
      <c r="L706" s="186"/>
      <c r="M706" s="36">
        <v>200000</v>
      </c>
      <c r="N706" s="37"/>
      <c r="O706" s="37" t="s">
        <v>34</v>
      </c>
      <c r="P706" s="47" t="str">
        <f>IF(AND('331-CT'!$F$5=TH!H706,OR(N706="331",O706="331")),"x","")</f>
        <v/>
      </c>
      <c r="Q706" s="47" t="str">
        <f>IF(AND(B706='111'!$L$11,OR($N706=$Q$7,$O706=$Q$7)),"x","")</f>
        <v/>
      </c>
      <c r="R706" s="47" t="str">
        <f>IF(AND($N706=$Q$7,$B706&lt;'111'!$L$11),"x","")</f>
        <v/>
      </c>
      <c r="S706" s="47" t="str">
        <f>IF(AND($O706=$Q$7,$B706&lt;'111'!$L$11),"x","")</f>
        <v>x</v>
      </c>
    </row>
    <row r="707" spans="1:19" ht="15.75" customHeight="1">
      <c r="A707" s="152" t="str">
        <f>IF(B707&lt;&gt;"",IF(AND(B707='IN-TC'!$S$4,OR(TH!N707="1111",TH!O707="1111")),TH!D707,""),"")</f>
        <v/>
      </c>
      <c r="B707" s="34">
        <f t="shared" si="24"/>
        <v>5</v>
      </c>
      <c r="C707" s="35">
        <f t="shared" si="25"/>
        <v>42502</v>
      </c>
      <c r="D707" s="212" t="s">
        <v>909</v>
      </c>
      <c r="E707" s="35">
        <v>42502</v>
      </c>
      <c r="F707" s="144" t="s">
        <v>641</v>
      </c>
      <c r="G707" s="191" t="s">
        <v>225</v>
      </c>
      <c r="H707" s="198"/>
      <c r="I707" s="186"/>
      <c r="J707" s="186"/>
      <c r="K707" s="185"/>
      <c r="L707" s="186"/>
      <c r="M707" s="36">
        <v>9480000</v>
      </c>
      <c r="N707" s="37"/>
      <c r="O707" s="37" t="s">
        <v>34</v>
      </c>
      <c r="P707" s="47" t="str">
        <f>IF(AND('331-CT'!$F$5=TH!H707,OR(N707="331",O707="331")),"x","")</f>
        <v/>
      </c>
      <c r="Q707" s="47" t="str">
        <f>IF(AND(B707='111'!$L$11,OR($N707=$Q$7,$O707=$Q$7)),"x","")</f>
        <v/>
      </c>
      <c r="R707" s="47" t="str">
        <f>IF(AND($N707=$Q$7,$B707&lt;'111'!$L$11),"x","")</f>
        <v/>
      </c>
      <c r="S707" s="47" t="str">
        <f>IF(AND($O707=$Q$7,$B707&lt;'111'!$L$11),"x","")</f>
        <v>x</v>
      </c>
    </row>
    <row r="708" spans="1:19" ht="15.75" customHeight="1">
      <c r="A708" s="152" t="str">
        <f>IF(B708&lt;&gt;"",IF(AND(B708='IN-TC'!$S$4,OR(TH!N708="1111",TH!O708="1111")),TH!D708,""),"")</f>
        <v/>
      </c>
      <c r="B708" s="34">
        <f t="shared" si="24"/>
        <v>5</v>
      </c>
      <c r="C708" s="35">
        <f t="shared" si="25"/>
        <v>42502</v>
      </c>
      <c r="D708" s="212" t="s">
        <v>910</v>
      </c>
      <c r="E708" s="35">
        <v>42502</v>
      </c>
      <c r="F708" s="144" t="s">
        <v>583</v>
      </c>
      <c r="G708" s="191" t="s">
        <v>202</v>
      </c>
      <c r="H708" s="198"/>
      <c r="I708" s="186"/>
      <c r="J708" s="186"/>
      <c r="K708" s="185"/>
      <c r="L708" s="186"/>
      <c r="M708" s="36">
        <v>80000</v>
      </c>
      <c r="N708" s="37"/>
      <c r="O708" s="37" t="s">
        <v>34</v>
      </c>
      <c r="P708" s="47" t="str">
        <f>IF(AND('331-CT'!$F$5=TH!H708,OR(N708="331",O708="331")),"x","")</f>
        <v/>
      </c>
      <c r="Q708" s="47" t="str">
        <f>IF(AND(B708='111'!$L$11,OR($N708=$Q$7,$O708=$Q$7)),"x","")</f>
        <v/>
      </c>
      <c r="R708" s="47" t="str">
        <f>IF(AND($N708=$Q$7,$B708&lt;'111'!$L$11),"x","")</f>
        <v/>
      </c>
      <c r="S708" s="47" t="str">
        <f>IF(AND($O708=$Q$7,$B708&lt;'111'!$L$11),"x","")</f>
        <v>x</v>
      </c>
    </row>
    <row r="709" spans="1:19" ht="15.75" customHeight="1">
      <c r="A709" s="152" t="str">
        <f>IF(B709&lt;&gt;"",IF(AND(B709='IN-TC'!$S$4,OR(TH!N709="1111",TH!O709="1111")),TH!D709,""),"")</f>
        <v/>
      </c>
      <c r="B709" s="34">
        <f t="shared" si="24"/>
        <v>5</v>
      </c>
      <c r="C709" s="35">
        <f t="shared" si="25"/>
        <v>42502</v>
      </c>
      <c r="D709" s="212"/>
      <c r="E709" s="35">
        <v>42502</v>
      </c>
      <c r="F709" s="144" t="s">
        <v>1461</v>
      </c>
      <c r="G709" s="191"/>
      <c r="H709" s="198" t="s">
        <v>815</v>
      </c>
      <c r="I709" s="186">
        <v>2308</v>
      </c>
      <c r="J709" s="186">
        <v>36000</v>
      </c>
      <c r="K709" s="185"/>
      <c r="L709" s="186"/>
      <c r="M709" s="36">
        <f>ROUND(I709*J709,0)</f>
        <v>83088000</v>
      </c>
      <c r="N709" s="37" t="s">
        <v>1443</v>
      </c>
      <c r="O709" s="37" t="s">
        <v>8</v>
      </c>
      <c r="P709" s="47" t="str">
        <f>IF(AND('331-CT'!$F$5=TH!H709,OR(N709="331",O709="331")),"x","")</f>
        <v/>
      </c>
      <c r="Q709" s="47" t="str">
        <f>IF(AND(B709='111'!$L$11,OR($N709=$Q$7,$O709=$Q$7)),"x","")</f>
        <v/>
      </c>
      <c r="R709" s="47" t="str">
        <f>IF(AND($N709=$Q$7,$B709&lt;'111'!$L$11),"x","")</f>
        <v/>
      </c>
      <c r="S709" s="47" t="str">
        <f>IF(AND($O709=$Q$7,$B709&lt;'111'!$L$11),"x","")</f>
        <v/>
      </c>
    </row>
    <row r="710" spans="1:19" ht="15.75" customHeight="1">
      <c r="A710" s="152" t="str">
        <f>IF(B710&lt;&gt;"",IF(AND(B710='IN-TC'!$S$4,OR(TH!N710="1111",TH!O710="1111")),TH!D710,""),"")</f>
        <v/>
      </c>
      <c r="B710" s="34">
        <f t="shared" si="24"/>
        <v>5</v>
      </c>
      <c r="C710" s="35">
        <f t="shared" si="25"/>
        <v>42502</v>
      </c>
      <c r="D710" s="212"/>
      <c r="E710" s="35">
        <v>42502</v>
      </c>
      <c r="F710" s="144" t="s">
        <v>1465</v>
      </c>
      <c r="G710" s="191"/>
      <c r="H710" s="198" t="s">
        <v>815</v>
      </c>
      <c r="I710" s="186">
        <v>217</v>
      </c>
      <c r="J710" s="186">
        <v>32000</v>
      </c>
      <c r="K710" s="185"/>
      <c r="L710" s="186"/>
      <c r="M710" s="36">
        <f>ROUND(I710*J710,0)</f>
        <v>6944000</v>
      </c>
      <c r="N710" s="37" t="s">
        <v>1443</v>
      </c>
      <c r="O710" s="37" t="s">
        <v>8</v>
      </c>
      <c r="P710" s="47" t="str">
        <f>IF(AND('331-CT'!$F$5=TH!H710,OR(N710="331",O710="331")),"x","")</f>
        <v/>
      </c>
      <c r="Q710" s="47" t="str">
        <f>IF(AND(B710='111'!$L$11,OR($N710=$Q$7,$O710=$Q$7)),"x","")</f>
        <v/>
      </c>
      <c r="R710" s="47" t="str">
        <f>IF(AND($N710=$Q$7,$B710&lt;'111'!$L$11),"x","")</f>
        <v/>
      </c>
      <c r="S710" s="47" t="str">
        <f>IF(AND($O710=$Q$7,$B710&lt;'111'!$L$11),"x","")</f>
        <v/>
      </c>
    </row>
    <row r="711" spans="1:19" ht="15.75" customHeight="1">
      <c r="A711" s="152" t="str">
        <f>IF(B711&lt;&gt;"",IF(AND(B711='IN-TC'!$S$4,OR(TH!N711="1111",TH!O711="1111")),TH!D711,""),"")</f>
        <v/>
      </c>
      <c r="B711" s="34">
        <f t="shared" si="24"/>
        <v>5</v>
      </c>
      <c r="C711" s="35">
        <f t="shared" si="25"/>
        <v>42502</v>
      </c>
      <c r="D711" s="212"/>
      <c r="E711" s="35">
        <v>42502</v>
      </c>
      <c r="F711" s="144" t="s">
        <v>1462</v>
      </c>
      <c r="G711" s="191"/>
      <c r="H711" s="198" t="s">
        <v>815</v>
      </c>
      <c r="I711" s="186">
        <v>58</v>
      </c>
      <c r="J711" s="186">
        <v>35000</v>
      </c>
      <c r="K711" s="185"/>
      <c r="L711" s="186"/>
      <c r="M711" s="36">
        <f>ROUND(I711*J711,0)</f>
        <v>2030000</v>
      </c>
      <c r="N711" s="37" t="s">
        <v>1443</v>
      </c>
      <c r="O711" s="37" t="s">
        <v>8</v>
      </c>
      <c r="P711" s="47" t="str">
        <f>IF(AND('331-CT'!$F$5=TH!H711,OR(N711="331",O711="331")),"x","")</f>
        <v/>
      </c>
      <c r="Q711" s="47" t="str">
        <f>IF(AND(B711='111'!$L$11,OR($N711=$Q$7,$O711=$Q$7)),"x","")</f>
        <v/>
      </c>
      <c r="R711" s="47" t="str">
        <f>IF(AND($N711=$Q$7,$B711&lt;'111'!$L$11),"x","")</f>
        <v/>
      </c>
      <c r="S711" s="47" t="str">
        <f>IF(AND($O711=$Q$7,$B711&lt;'111'!$L$11),"x","")</f>
        <v/>
      </c>
    </row>
    <row r="712" spans="1:19" ht="15.75" customHeight="1">
      <c r="A712" s="152" t="str">
        <f>IF(B712&lt;&gt;"",IF(AND(B712='IN-TC'!$S$4,OR(TH!N712="1111",TH!O712="1111")),TH!D712,""),"")</f>
        <v/>
      </c>
      <c r="B712" s="34">
        <f t="shared" si="24"/>
        <v>5</v>
      </c>
      <c r="C712" s="35">
        <f t="shared" si="25"/>
        <v>42502</v>
      </c>
      <c r="D712" s="212"/>
      <c r="E712" s="35">
        <v>42502</v>
      </c>
      <c r="F712" s="144" t="s">
        <v>1535</v>
      </c>
      <c r="G712" s="191"/>
      <c r="H712" s="198" t="s">
        <v>829</v>
      </c>
      <c r="I712" s="186">
        <v>930</v>
      </c>
      <c r="J712" s="186">
        <v>165000</v>
      </c>
      <c r="K712" s="185"/>
      <c r="L712" s="186"/>
      <c r="M712" s="36">
        <f>ROUND(I712*J712,-3)</f>
        <v>153450000</v>
      </c>
      <c r="N712" s="37" t="s">
        <v>1443</v>
      </c>
      <c r="O712" s="37" t="s">
        <v>8</v>
      </c>
      <c r="P712" s="47" t="str">
        <f>IF(AND('331-CT'!$F$5=TH!H712,OR(N712="331",O712="331")),"x","")</f>
        <v/>
      </c>
      <c r="Q712" s="47" t="str">
        <f>IF(AND(B712='111'!$L$11,OR($N712=$Q$7,$O712=$Q$7)),"x","")</f>
        <v/>
      </c>
      <c r="R712" s="47" t="str">
        <f>IF(AND($N712=$Q$7,$B712&lt;'111'!$L$11),"x","")</f>
        <v/>
      </c>
      <c r="S712" s="47" t="str">
        <f>IF(AND($O712=$Q$7,$B712&lt;'111'!$L$11),"x","")</f>
        <v/>
      </c>
    </row>
    <row r="713" spans="1:19" ht="15.75" customHeight="1">
      <c r="A713" s="152" t="str">
        <f>IF(B713&lt;&gt;"",IF(AND(B713='IN-TC'!$S$4,OR(TH!N713="1111",TH!O713="1111")),TH!D713,""),"")</f>
        <v/>
      </c>
      <c r="B713" s="34">
        <f t="shared" si="24"/>
        <v>5</v>
      </c>
      <c r="C713" s="35">
        <f t="shared" si="25"/>
        <v>42502</v>
      </c>
      <c r="D713" s="212"/>
      <c r="E713" s="35">
        <v>42502</v>
      </c>
      <c r="F713" s="144" t="s">
        <v>1536</v>
      </c>
      <c r="G713" s="191"/>
      <c r="H713" s="198" t="s">
        <v>829</v>
      </c>
      <c r="I713" s="186">
        <v>400</v>
      </c>
      <c r="J713" s="186">
        <v>165000</v>
      </c>
      <c r="K713" s="185"/>
      <c r="L713" s="186"/>
      <c r="M713" s="36">
        <f>ROUND(I713*J713,-3)</f>
        <v>66000000</v>
      </c>
      <c r="N713" s="37" t="s">
        <v>1443</v>
      </c>
      <c r="O713" s="37" t="s">
        <v>8</v>
      </c>
      <c r="P713" s="47" t="str">
        <f>IF(AND('331-CT'!$F$5=TH!H713,OR(N713="331",O713="331")),"x","")</f>
        <v/>
      </c>
      <c r="Q713" s="47" t="str">
        <f>IF(AND(B713='111'!$L$11,OR($N713=$Q$7,$O713=$Q$7)),"x","")</f>
        <v/>
      </c>
      <c r="R713" s="47" t="str">
        <f>IF(AND($N713=$Q$7,$B713&lt;'111'!$L$11),"x","")</f>
        <v/>
      </c>
      <c r="S713" s="47" t="str">
        <f>IF(AND($O713=$Q$7,$B713&lt;'111'!$L$11),"x","")</f>
        <v/>
      </c>
    </row>
    <row r="714" spans="1:19" ht="15.75" customHeight="1">
      <c r="A714" s="152" t="str">
        <f>IF(B714&lt;&gt;"",IF(AND(B714='IN-TC'!$S$4,OR(TH!N714="1111",TH!O714="1111")),TH!D714,""),"")</f>
        <v/>
      </c>
      <c r="B714" s="34">
        <f t="shared" si="24"/>
        <v>5</v>
      </c>
      <c r="C714" s="35">
        <f t="shared" si="25"/>
        <v>42503</v>
      </c>
      <c r="D714" s="212" t="s">
        <v>1012</v>
      </c>
      <c r="E714" s="35">
        <v>42503</v>
      </c>
      <c r="F714" s="144" t="s">
        <v>175</v>
      </c>
      <c r="G714" s="191" t="s">
        <v>108</v>
      </c>
      <c r="H714" s="198"/>
      <c r="I714" s="186"/>
      <c r="J714" s="186"/>
      <c r="K714" s="185"/>
      <c r="L714" s="186"/>
      <c r="M714" s="36">
        <v>240000000</v>
      </c>
      <c r="N714" s="37" t="s">
        <v>34</v>
      </c>
      <c r="O714" s="37"/>
      <c r="P714" s="47" t="str">
        <f>IF(AND('331-CT'!$F$5=TH!H714,OR(N714="331",O714="331")),"x","")</f>
        <v/>
      </c>
      <c r="Q714" s="47" t="str">
        <f>IF(AND(B714='111'!$L$11,OR($N714=$Q$7,$O714=$Q$7)),"x","")</f>
        <v/>
      </c>
      <c r="R714" s="47" t="str">
        <f>IF(AND($N714=$Q$7,$B714&lt;'111'!$L$11),"x","")</f>
        <v>x</v>
      </c>
      <c r="S714" s="47" t="str">
        <f>IF(AND($O714=$Q$7,$B714&lt;'111'!$L$11),"x","")</f>
        <v/>
      </c>
    </row>
    <row r="715" spans="1:19" ht="15.75" customHeight="1">
      <c r="A715" s="152" t="str">
        <f>IF(B715&lt;&gt;"",IF(AND(B715='IN-TC'!$S$4,OR(TH!N715="1111",TH!O715="1111")),TH!D715,""),"")</f>
        <v/>
      </c>
      <c r="B715" s="34">
        <f t="shared" si="24"/>
        <v>5</v>
      </c>
      <c r="C715" s="35">
        <f t="shared" si="25"/>
        <v>42503</v>
      </c>
      <c r="D715" s="212" t="s">
        <v>1013</v>
      </c>
      <c r="E715" s="35">
        <v>42503</v>
      </c>
      <c r="F715" s="144" t="s">
        <v>156</v>
      </c>
      <c r="G715" s="191" t="s">
        <v>108</v>
      </c>
      <c r="H715" s="198"/>
      <c r="I715" s="186"/>
      <c r="J715" s="186"/>
      <c r="K715" s="185"/>
      <c r="L715" s="186"/>
      <c r="M715" s="36">
        <v>6080000</v>
      </c>
      <c r="N715" s="37" t="s">
        <v>34</v>
      </c>
      <c r="O715" s="37"/>
      <c r="P715" s="47" t="str">
        <f>IF(AND('331-CT'!$F$5=TH!H715,OR(N715="331",O715="331")),"x","")</f>
        <v/>
      </c>
      <c r="Q715" s="47" t="str">
        <f>IF(AND(B715='111'!$L$11,OR($N715=$Q$7,$O715=$Q$7)),"x","")</f>
        <v/>
      </c>
      <c r="R715" s="47" t="str">
        <f>IF(AND($N715=$Q$7,$B715&lt;'111'!$L$11),"x","")</f>
        <v>x</v>
      </c>
      <c r="S715" s="47" t="str">
        <f>IF(AND($O715=$Q$7,$B715&lt;'111'!$L$11),"x","")</f>
        <v/>
      </c>
    </row>
    <row r="716" spans="1:19" ht="15.75" customHeight="1">
      <c r="A716" s="152" t="str">
        <f>IF(B716&lt;&gt;"",IF(AND(B716='IN-TC'!$S$4,OR(TH!N716="1111",TH!O716="1111")),TH!D716,""),"")</f>
        <v/>
      </c>
      <c r="B716" s="34">
        <f t="shared" si="24"/>
        <v>5</v>
      </c>
      <c r="C716" s="35">
        <f t="shared" si="25"/>
        <v>42503</v>
      </c>
      <c r="D716" s="212" t="s">
        <v>911</v>
      </c>
      <c r="E716" s="35">
        <v>42503</v>
      </c>
      <c r="F716" s="144" t="s">
        <v>642</v>
      </c>
      <c r="G716" s="191" t="s">
        <v>104</v>
      </c>
      <c r="H716" s="198"/>
      <c r="I716" s="186"/>
      <c r="J716" s="186"/>
      <c r="K716" s="185"/>
      <c r="L716" s="186"/>
      <c r="M716" s="36">
        <v>12000000</v>
      </c>
      <c r="N716" s="37"/>
      <c r="O716" s="37" t="s">
        <v>34</v>
      </c>
      <c r="P716" s="47" t="str">
        <f>IF(AND('331-CT'!$F$5=TH!H716,OR(N716="331",O716="331")),"x","")</f>
        <v/>
      </c>
      <c r="Q716" s="47" t="str">
        <f>IF(AND(B716='111'!$L$11,OR($N716=$Q$7,$O716=$Q$7)),"x","")</f>
        <v/>
      </c>
      <c r="R716" s="47" t="str">
        <f>IF(AND($N716=$Q$7,$B716&lt;'111'!$L$11),"x","")</f>
        <v/>
      </c>
      <c r="S716" s="47" t="str">
        <f>IF(AND($O716=$Q$7,$B716&lt;'111'!$L$11),"x","")</f>
        <v>x</v>
      </c>
    </row>
    <row r="717" spans="1:19" ht="15.75" customHeight="1">
      <c r="A717" s="152" t="str">
        <f>IF(B717&lt;&gt;"",IF(AND(B717='IN-TC'!$S$4,OR(TH!N717="1111",TH!O717="1111")),TH!D717,""),"")</f>
        <v/>
      </c>
      <c r="B717" s="34">
        <f t="shared" ref="B717:B780" si="26">IF(C717&lt;&gt;"",MONTH(C717),"")</f>
        <v>5</v>
      </c>
      <c r="C717" s="35">
        <f t="shared" ref="C717:C780" si="27">E717</f>
        <v>42503</v>
      </c>
      <c r="D717" s="212" t="s">
        <v>912</v>
      </c>
      <c r="E717" s="35">
        <v>42503</v>
      </c>
      <c r="F717" s="144" t="s">
        <v>643</v>
      </c>
      <c r="G717" s="191" t="s">
        <v>212</v>
      </c>
      <c r="H717" s="198"/>
      <c r="I717" s="186"/>
      <c r="J717" s="186"/>
      <c r="K717" s="185"/>
      <c r="L717" s="186"/>
      <c r="M717" s="36">
        <v>262465000</v>
      </c>
      <c r="N717" s="37"/>
      <c r="O717" s="37" t="s">
        <v>34</v>
      </c>
      <c r="P717" s="47" t="str">
        <f>IF(AND('331-CT'!$F$5=TH!H717,OR(N717="331",O717="331")),"x","")</f>
        <v/>
      </c>
      <c r="Q717" s="47" t="str">
        <f>IF(AND(B717='111'!$L$11,OR($N717=$Q$7,$O717=$Q$7)),"x","")</f>
        <v/>
      </c>
      <c r="R717" s="47" t="str">
        <f>IF(AND($N717=$Q$7,$B717&lt;'111'!$L$11),"x","")</f>
        <v/>
      </c>
      <c r="S717" s="47" t="str">
        <f>IF(AND($O717=$Q$7,$B717&lt;'111'!$L$11),"x","")</f>
        <v>x</v>
      </c>
    </row>
    <row r="718" spans="1:19" ht="15.75" customHeight="1">
      <c r="A718" s="152" t="str">
        <f>IF(B718&lt;&gt;"",IF(AND(B718='IN-TC'!$S$4,OR(TH!N718="1111",TH!O718="1111")),TH!D718,""),"")</f>
        <v/>
      </c>
      <c r="B718" s="34">
        <f t="shared" si="26"/>
        <v>5</v>
      </c>
      <c r="C718" s="35">
        <f t="shared" si="27"/>
        <v>42503</v>
      </c>
      <c r="D718" s="212" t="s">
        <v>913</v>
      </c>
      <c r="E718" s="35">
        <v>42503</v>
      </c>
      <c r="F718" s="144" t="s">
        <v>644</v>
      </c>
      <c r="G718" s="191" t="s">
        <v>212</v>
      </c>
      <c r="H718" s="198"/>
      <c r="I718" s="186"/>
      <c r="J718" s="186"/>
      <c r="K718" s="185"/>
      <c r="L718" s="186"/>
      <c r="M718" s="36">
        <v>4008000</v>
      </c>
      <c r="N718" s="37"/>
      <c r="O718" s="37" t="s">
        <v>34</v>
      </c>
      <c r="P718" s="47" t="str">
        <f>IF(AND('331-CT'!$F$5=TH!H718,OR(N718="331",O718="331")),"x","")</f>
        <v/>
      </c>
      <c r="Q718" s="47" t="str">
        <f>IF(AND(B718='111'!$L$11,OR($N718=$Q$7,$O718=$Q$7)),"x","")</f>
        <v/>
      </c>
      <c r="R718" s="47" t="str">
        <f>IF(AND($N718=$Q$7,$B718&lt;'111'!$L$11),"x","")</f>
        <v/>
      </c>
      <c r="S718" s="47" t="str">
        <f>IF(AND($O718=$Q$7,$B718&lt;'111'!$L$11),"x","")</f>
        <v>x</v>
      </c>
    </row>
    <row r="719" spans="1:19" ht="15.75" customHeight="1">
      <c r="A719" s="152" t="str">
        <f>IF(B719&lt;&gt;"",IF(AND(B719='IN-TC'!$S$4,OR(TH!N719="1111",TH!O719="1111")),TH!D719,""),"")</f>
        <v/>
      </c>
      <c r="B719" s="34">
        <f t="shared" si="26"/>
        <v>5</v>
      </c>
      <c r="C719" s="35">
        <f t="shared" si="27"/>
        <v>42503</v>
      </c>
      <c r="D719" s="212"/>
      <c r="E719" s="35">
        <v>42503</v>
      </c>
      <c r="F719" s="144" t="s">
        <v>1467</v>
      </c>
      <c r="G719" s="191"/>
      <c r="H719" s="198" t="s">
        <v>831</v>
      </c>
      <c r="I719" s="186">
        <v>1510</v>
      </c>
      <c r="J719" s="186">
        <v>13000</v>
      </c>
      <c r="K719" s="185"/>
      <c r="L719" s="186"/>
      <c r="M719" s="36">
        <f>ROUND(I719*J719,0)</f>
        <v>19630000</v>
      </c>
      <c r="N719" s="37" t="s">
        <v>1443</v>
      </c>
      <c r="O719" s="37" t="s">
        <v>8</v>
      </c>
      <c r="P719" s="47" t="str">
        <f>IF(AND('331-CT'!$F$5=TH!H719,OR(N719="331",O719="331")),"x","")</f>
        <v/>
      </c>
      <c r="Q719" s="47" t="str">
        <f>IF(AND(B719='111'!$L$11,OR($N719=$Q$7,$O719=$Q$7)),"x","")</f>
        <v/>
      </c>
      <c r="R719" s="47" t="str">
        <f>IF(AND($N719=$Q$7,$B719&lt;'111'!$L$11),"x","")</f>
        <v/>
      </c>
      <c r="S719" s="47" t="str">
        <f>IF(AND($O719=$Q$7,$B719&lt;'111'!$L$11),"x","")</f>
        <v/>
      </c>
    </row>
    <row r="720" spans="1:19" ht="15.75" customHeight="1">
      <c r="A720" s="152" t="str">
        <f>IF(B720&lt;&gt;"",IF(AND(B720='IN-TC'!$S$4,OR(TH!N720="1111",TH!O720="1111")),TH!D720,""),"")</f>
        <v/>
      </c>
      <c r="B720" s="34">
        <f t="shared" si="26"/>
        <v>5</v>
      </c>
      <c r="C720" s="35">
        <f t="shared" si="27"/>
        <v>42503</v>
      </c>
      <c r="D720" s="212"/>
      <c r="E720" s="35">
        <v>42503</v>
      </c>
      <c r="F720" s="144" t="s">
        <v>1468</v>
      </c>
      <c r="G720" s="191"/>
      <c r="H720" s="198" t="s">
        <v>831</v>
      </c>
      <c r="I720" s="186"/>
      <c r="J720" s="186"/>
      <c r="K720" s="185"/>
      <c r="L720" s="186"/>
      <c r="M720" s="36">
        <v>19630000</v>
      </c>
      <c r="N720" s="37" t="s">
        <v>8</v>
      </c>
      <c r="O720" s="37" t="s">
        <v>1457</v>
      </c>
      <c r="P720" s="47" t="str">
        <f>IF(AND('331-CT'!$F$5=TH!H720,OR(N720="331",O720="331")),"x","")</f>
        <v/>
      </c>
      <c r="Q720" s="47" t="str">
        <f>IF(AND(B720='111'!$L$11,OR($N720=$Q$7,$O720=$Q$7)),"x","")</f>
        <v/>
      </c>
      <c r="R720" s="47" t="str">
        <f>IF(AND($N720=$Q$7,$B720&lt;'111'!$L$11),"x","")</f>
        <v/>
      </c>
      <c r="S720" s="47" t="str">
        <f>IF(AND($O720=$Q$7,$B720&lt;'111'!$L$11),"x","")</f>
        <v/>
      </c>
    </row>
    <row r="721" spans="1:19" ht="15.75" customHeight="1">
      <c r="A721" s="152" t="str">
        <f>IF(B721&lt;&gt;"",IF(AND(B721='IN-TC'!$S$4,OR(TH!N721="1111",TH!O721="1111")),TH!D721,""),"")</f>
        <v/>
      </c>
      <c r="B721" s="34">
        <f t="shared" si="26"/>
        <v>5</v>
      </c>
      <c r="C721" s="35">
        <f t="shared" si="27"/>
        <v>42504</v>
      </c>
      <c r="D721" s="212" t="s">
        <v>1014</v>
      </c>
      <c r="E721" s="35">
        <v>42504</v>
      </c>
      <c r="F721" s="144" t="s">
        <v>155</v>
      </c>
      <c r="G721" s="191" t="s">
        <v>104</v>
      </c>
      <c r="H721" s="198"/>
      <c r="I721" s="186"/>
      <c r="J721" s="186"/>
      <c r="K721" s="185"/>
      <c r="L721" s="186"/>
      <c r="M721" s="36">
        <v>850000000</v>
      </c>
      <c r="N721" s="37" t="s">
        <v>34</v>
      </c>
      <c r="O721" s="37"/>
      <c r="P721" s="47" t="str">
        <f>IF(AND('331-CT'!$F$5=TH!H721,OR(N721="331",O721="331")),"x","")</f>
        <v/>
      </c>
      <c r="Q721" s="47" t="str">
        <f>IF(AND(B721='111'!$L$11,OR($N721=$Q$7,$O721=$Q$7)),"x","")</f>
        <v/>
      </c>
      <c r="R721" s="47" t="str">
        <f>IF(AND($N721=$Q$7,$B721&lt;'111'!$L$11),"x","")</f>
        <v>x</v>
      </c>
      <c r="S721" s="47" t="str">
        <f>IF(AND($O721=$Q$7,$B721&lt;'111'!$L$11),"x","")</f>
        <v/>
      </c>
    </row>
    <row r="722" spans="1:19" ht="15.75" customHeight="1">
      <c r="A722" s="152" t="str">
        <f>IF(B722&lt;&gt;"",IF(AND(B722='IN-TC'!$S$4,OR(TH!N722="1111",TH!O722="1111")),TH!D722,""),"")</f>
        <v/>
      </c>
      <c r="B722" s="34">
        <f t="shared" si="26"/>
        <v>5</v>
      </c>
      <c r="C722" s="35">
        <f t="shared" si="27"/>
        <v>42504</v>
      </c>
      <c r="D722" s="212" t="s">
        <v>914</v>
      </c>
      <c r="E722" s="35">
        <v>42504</v>
      </c>
      <c r="F722" s="144" t="s">
        <v>332</v>
      </c>
      <c r="G722" s="191" t="s">
        <v>206</v>
      </c>
      <c r="H722" s="198" t="s">
        <v>829</v>
      </c>
      <c r="I722" s="186"/>
      <c r="J722" s="186"/>
      <c r="K722" s="185"/>
      <c r="L722" s="186"/>
      <c r="M722" s="36">
        <v>150000000</v>
      </c>
      <c r="N722" s="37" t="s">
        <v>8</v>
      </c>
      <c r="O722" s="37" t="s">
        <v>34</v>
      </c>
      <c r="P722" s="47" t="str">
        <f>IF(AND('331-CT'!$F$5=TH!H722,OR(N722="331",O722="331")),"x","")</f>
        <v/>
      </c>
      <c r="Q722" s="47" t="str">
        <f>IF(AND(B722='111'!$L$11,OR($N722=$Q$7,$O722=$Q$7)),"x","")</f>
        <v/>
      </c>
      <c r="R722" s="47" t="str">
        <f>IF(AND($N722=$Q$7,$B722&lt;'111'!$L$11),"x","")</f>
        <v/>
      </c>
      <c r="S722" s="47" t="str">
        <f>IF(AND($O722=$Q$7,$B722&lt;'111'!$L$11),"x","")</f>
        <v>x</v>
      </c>
    </row>
    <row r="723" spans="1:19" ht="15.75" customHeight="1">
      <c r="A723" s="152" t="str">
        <f>IF(B723&lt;&gt;"",IF(AND(B723='IN-TC'!$S$4,OR(TH!N723="1111",TH!O723="1111")),TH!D723,""),"")</f>
        <v/>
      </c>
      <c r="B723" s="34">
        <f t="shared" si="26"/>
        <v>5</v>
      </c>
      <c r="C723" s="35">
        <f t="shared" si="27"/>
        <v>42504</v>
      </c>
      <c r="D723" s="212" t="s">
        <v>915</v>
      </c>
      <c r="E723" s="35">
        <v>42504</v>
      </c>
      <c r="F723" s="144" t="s">
        <v>645</v>
      </c>
      <c r="G723" s="191" t="s">
        <v>204</v>
      </c>
      <c r="H723" s="198"/>
      <c r="I723" s="186"/>
      <c r="J723" s="186"/>
      <c r="K723" s="185"/>
      <c r="L723" s="186"/>
      <c r="M723" s="36">
        <v>400000000</v>
      </c>
      <c r="N723" s="37"/>
      <c r="O723" s="37" t="s">
        <v>34</v>
      </c>
      <c r="P723" s="47" t="str">
        <f>IF(AND('331-CT'!$F$5=TH!H723,OR(N723="331",O723="331")),"x","")</f>
        <v/>
      </c>
      <c r="Q723" s="47" t="str">
        <f>IF(AND(B723='111'!$L$11,OR($N723=$Q$7,$O723=$Q$7)),"x","")</f>
        <v/>
      </c>
      <c r="R723" s="47" t="str">
        <f>IF(AND($N723=$Q$7,$B723&lt;'111'!$L$11),"x","")</f>
        <v/>
      </c>
      <c r="S723" s="47" t="str">
        <f>IF(AND($O723=$Q$7,$B723&lt;'111'!$L$11),"x","")</f>
        <v>x</v>
      </c>
    </row>
    <row r="724" spans="1:19" ht="15.75" customHeight="1">
      <c r="A724" s="152" t="str">
        <f>IF(B724&lt;&gt;"",IF(AND(B724='IN-TC'!$S$4,OR(TH!N724="1111",TH!O724="1111")),TH!D724,""),"")</f>
        <v/>
      </c>
      <c r="B724" s="34">
        <f t="shared" si="26"/>
        <v>5</v>
      </c>
      <c r="C724" s="35">
        <f t="shared" si="27"/>
        <v>42504</v>
      </c>
      <c r="D724" s="212" t="s">
        <v>916</v>
      </c>
      <c r="E724" s="35">
        <v>42504</v>
      </c>
      <c r="F724" s="144" t="s">
        <v>646</v>
      </c>
      <c r="G724" s="191" t="s">
        <v>212</v>
      </c>
      <c r="H724" s="198"/>
      <c r="I724" s="186"/>
      <c r="J724" s="186"/>
      <c r="K724" s="185"/>
      <c r="L724" s="186"/>
      <c r="M724" s="36">
        <v>17500000</v>
      </c>
      <c r="N724" s="37"/>
      <c r="O724" s="37" t="s">
        <v>34</v>
      </c>
      <c r="P724" s="47" t="str">
        <f>IF(AND('331-CT'!$F$5=TH!H724,OR(N724="331",O724="331")),"x","")</f>
        <v/>
      </c>
      <c r="Q724" s="47" t="str">
        <f>IF(AND(B724='111'!$L$11,OR($N724=$Q$7,$O724=$Q$7)),"x","")</f>
        <v/>
      </c>
      <c r="R724" s="47" t="str">
        <f>IF(AND($N724=$Q$7,$B724&lt;'111'!$L$11),"x","")</f>
        <v/>
      </c>
      <c r="S724" s="47" t="str">
        <f>IF(AND($O724=$Q$7,$B724&lt;'111'!$L$11),"x","")</f>
        <v>x</v>
      </c>
    </row>
    <row r="725" spans="1:19" ht="15.75" customHeight="1">
      <c r="A725" s="152" t="str">
        <f>IF(B725&lt;&gt;"",IF(AND(B725='IN-TC'!$S$4,OR(TH!N725="1111",TH!O725="1111")),TH!D725,""),"")</f>
        <v/>
      </c>
      <c r="B725" s="34">
        <f t="shared" si="26"/>
        <v>5</v>
      </c>
      <c r="C725" s="35">
        <f t="shared" si="27"/>
        <v>42504</v>
      </c>
      <c r="D725" s="212" t="s">
        <v>917</v>
      </c>
      <c r="E725" s="35">
        <v>42504</v>
      </c>
      <c r="F725" s="144" t="s">
        <v>647</v>
      </c>
      <c r="G725" s="191" t="s">
        <v>202</v>
      </c>
      <c r="H725" s="198"/>
      <c r="I725" s="186"/>
      <c r="J725" s="186"/>
      <c r="K725" s="185"/>
      <c r="L725" s="186"/>
      <c r="M725" s="36">
        <v>38688000</v>
      </c>
      <c r="N725" s="37"/>
      <c r="O725" s="37" t="s">
        <v>34</v>
      </c>
      <c r="P725" s="47" t="str">
        <f>IF(AND('331-CT'!$F$5=TH!H725,OR(N725="331",O725="331")),"x","")</f>
        <v/>
      </c>
      <c r="Q725" s="47" t="str">
        <f>IF(AND(B725='111'!$L$11,OR($N725=$Q$7,$O725=$Q$7)),"x","")</f>
        <v/>
      </c>
      <c r="R725" s="47" t="str">
        <f>IF(AND($N725=$Q$7,$B725&lt;'111'!$L$11),"x","")</f>
        <v/>
      </c>
      <c r="S725" s="47" t="str">
        <f>IF(AND($O725=$Q$7,$B725&lt;'111'!$L$11),"x","")</f>
        <v>x</v>
      </c>
    </row>
    <row r="726" spans="1:19" ht="15.75" customHeight="1">
      <c r="A726" s="152" t="str">
        <f>IF(B726&lt;&gt;"",IF(AND(B726='IN-TC'!$S$4,OR(TH!N726="1111",TH!O726="1111")),TH!D726,""),"")</f>
        <v/>
      </c>
      <c r="B726" s="34">
        <f t="shared" si="26"/>
        <v>5</v>
      </c>
      <c r="C726" s="35">
        <f t="shared" si="27"/>
        <v>42504</v>
      </c>
      <c r="D726" s="212" t="s">
        <v>918</v>
      </c>
      <c r="E726" s="35">
        <v>42504</v>
      </c>
      <c r="F726" s="144" t="s">
        <v>648</v>
      </c>
      <c r="G726" s="191" t="s">
        <v>221</v>
      </c>
      <c r="H726" s="198"/>
      <c r="I726" s="186"/>
      <c r="J726" s="186"/>
      <c r="K726" s="185"/>
      <c r="L726" s="186"/>
      <c r="M726" s="36">
        <v>170000000</v>
      </c>
      <c r="N726" s="37"/>
      <c r="O726" s="37" t="s">
        <v>34</v>
      </c>
      <c r="P726" s="47" t="str">
        <f>IF(AND('331-CT'!$F$5=TH!H726,OR(N726="331",O726="331")),"x","")</f>
        <v/>
      </c>
      <c r="Q726" s="47" t="str">
        <f>IF(AND(B726='111'!$L$11,OR($N726=$Q$7,$O726=$Q$7)),"x","")</f>
        <v/>
      </c>
      <c r="R726" s="47" t="str">
        <f>IF(AND($N726=$Q$7,$B726&lt;'111'!$L$11),"x","")</f>
        <v/>
      </c>
      <c r="S726" s="47" t="str">
        <f>IF(AND($O726=$Q$7,$B726&lt;'111'!$L$11),"x","")</f>
        <v>x</v>
      </c>
    </row>
    <row r="727" spans="1:19" ht="15.75" customHeight="1">
      <c r="A727" s="152" t="str">
        <f>IF(B727&lt;&gt;"",IF(AND(B727='IN-TC'!$S$4,OR(TH!N727="1111",TH!O727="1111")),TH!D727,""),"")</f>
        <v/>
      </c>
      <c r="B727" s="34">
        <f t="shared" si="26"/>
        <v>5</v>
      </c>
      <c r="C727" s="35">
        <f t="shared" si="27"/>
        <v>42504</v>
      </c>
      <c r="D727" s="212" t="s">
        <v>919</v>
      </c>
      <c r="E727" s="35">
        <v>42504</v>
      </c>
      <c r="F727" s="144" t="s">
        <v>649</v>
      </c>
      <c r="G727" s="191" t="s">
        <v>203</v>
      </c>
      <c r="H727" s="198"/>
      <c r="I727" s="186"/>
      <c r="J727" s="186"/>
      <c r="K727" s="185"/>
      <c r="L727" s="186"/>
      <c r="M727" s="36">
        <v>39000000</v>
      </c>
      <c r="N727" s="37" t="s">
        <v>814</v>
      </c>
      <c r="O727" s="37" t="s">
        <v>34</v>
      </c>
      <c r="P727" s="47" t="str">
        <f>IF(AND('331-CT'!$F$5=TH!H727,OR(N727="331",O727="331")),"x","")</f>
        <v/>
      </c>
      <c r="Q727" s="47" t="str">
        <f>IF(AND(B727='111'!$L$11,OR($N727=$Q$7,$O727=$Q$7)),"x","")</f>
        <v/>
      </c>
      <c r="R727" s="47" t="str">
        <f>IF(AND($N727=$Q$7,$B727&lt;'111'!$L$11),"x","")</f>
        <v/>
      </c>
      <c r="S727" s="47" t="str">
        <f>IF(AND($O727=$Q$7,$B727&lt;'111'!$L$11),"x","")</f>
        <v>x</v>
      </c>
    </row>
    <row r="728" spans="1:19" ht="15.75" customHeight="1">
      <c r="A728" s="152" t="str">
        <f>IF(B728&lt;&gt;"",IF(AND(B728='IN-TC'!$S$4,OR(TH!N728="1111",TH!O728="1111")),TH!D728,""),"")</f>
        <v/>
      </c>
      <c r="B728" s="34">
        <f t="shared" si="26"/>
        <v>5</v>
      </c>
      <c r="C728" s="35">
        <f t="shared" si="27"/>
        <v>42504</v>
      </c>
      <c r="D728" s="212" t="s">
        <v>920</v>
      </c>
      <c r="E728" s="35">
        <v>42504</v>
      </c>
      <c r="F728" s="144" t="s">
        <v>650</v>
      </c>
      <c r="G728" s="191" t="s">
        <v>210</v>
      </c>
      <c r="H728" s="198"/>
      <c r="I728" s="186"/>
      <c r="J728" s="186"/>
      <c r="K728" s="185"/>
      <c r="L728" s="186"/>
      <c r="M728" s="36">
        <v>17655000</v>
      </c>
      <c r="N728" s="37"/>
      <c r="O728" s="37" t="s">
        <v>34</v>
      </c>
      <c r="P728" s="47" t="str">
        <f>IF(AND('331-CT'!$F$5=TH!H728,OR(N728="331",O728="331")),"x","")</f>
        <v/>
      </c>
      <c r="Q728" s="47" t="str">
        <f>IF(AND(B728='111'!$L$11,OR($N728=$Q$7,$O728=$Q$7)),"x","")</f>
        <v/>
      </c>
      <c r="R728" s="47" t="str">
        <f>IF(AND($N728=$Q$7,$B728&lt;'111'!$L$11),"x","")</f>
        <v/>
      </c>
      <c r="S728" s="47" t="str">
        <f>IF(AND($O728=$Q$7,$B728&lt;'111'!$L$11),"x","")</f>
        <v>x</v>
      </c>
    </row>
    <row r="729" spans="1:19" ht="15.75" customHeight="1">
      <c r="A729" s="152" t="str">
        <f>IF(B729&lt;&gt;"",IF(AND(B729='IN-TC'!$S$4,OR(TH!N729="1111",TH!O729="1111")),TH!D729,""),"")</f>
        <v/>
      </c>
      <c r="B729" s="34">
        <f t="shared" si="26"/>
        <v>5</v>
      </c>
      <c r="C729" s="35">
        <f t="shared" si="27"/>
        <v>42504</v>
      </c>
      <c r="D729" s="212" t="s">
        <v>921</v>
      </c>
      <c r="E729" s="35">
        <v>42504</v>
      </c>
      <c r="F729" s="144" t="s">
        <v>651</v>
      </c>
      <c r="G729" s="191" t="s">
        <v>111</v>
      </c>
      <c r="H729" s="198"/>
      <c r="I729" s="186"/>
      <c r="J729" s="186"/>
      <c r="K729" s="185"/>
      <c r="L729" s="186"/>
      <c r="M729" s="36">
        <v>50000</v>
      </c>
      <c r="N729" s="37"/>
      <c r="O729" s="37" t="s">
        <v>34</v>
      </c>
      <c r="P729" s="47" t="str">
        <f>IF(AND('331-CT'!$F$5=TH!H729,OR(N729="331",O729="331")),"x","")</f>
        <v/>
      </c>
      <c r="Q729" s="47" t="str">
        <f>IF(AND(B729='111'!$L$11,OR($N729=$Q$7,$O729=$Q$7)),"x","")</f>
        <v/>
      </c>
      <c r="R729" s="47" t="str">
        <f>IF(AND($N729=$Q$7,$B729&lt;'111'!$L$11),"x","")</f>
        <v/>
      </c>
      <c r="S729" s="47" t="str">
        <f>IF(AND($O729=$Q$7,$B729&lt;'111'!$L$11),"x","")</f>
        <v>x</v>
      </c>
    </row>
    <row r="730" spans="1:19" ht="15.75" customHeight="1">
      <c r="A730" s="152" t="str">
        <f>IF(B730&lt;&gt;"",IF(AND(B730='IN-TC'!$S$4,OR(TH!N730="1111",TH!O730="1111")),TH!D730,""),"")</f>
        <v/>
      </c>
      <c r="B730" s="34">
        <f t="shared" si="26"/>
        <v>5</v>
      </c>
      <c r="C730" s="35">
        <f t="shared" si="27"/>
        <v>42505</v>
      </c>
      <c r="D730" s="212"/>
      <c r="E730" s="35">
        <v>42505</v>
      </c>
      <c r="F730" s="144" t="s">
        <v>1538</v>
      </c>
      <c r="G730" s="191" t="s">
        <v>1539</v>
      </c>
      <c r="H730" s="198" t="s">
        <v>829</v>
      </c>
      <c r="I730" s="186">
        <v>260</v>
      </c>
      <c r="J730" s="186">
        <v>80000</v>
      </c>
      <c r="K730" s="185"/>
      <c r="L730" s="186"/>
      <c r="M730" s="36">
        <f>ROUND(I730*J730,-3)</f>
        <v>20800000</v>
      </c>
      <c r="N730" s="37" t="s">
        <v>8</v>
      </c>
      <c r="O730" s="37" t="s">
        <v>1443</v>
      </c>
      <c r="P730" s="47" t="str">
        <f>IF(AND('331-CT'!$F$5=TH!H730,OR(N730="331",O730="331")),"x","")</f>
        <v/>
      </c>
      <c r="Q730" s="47" t="str">
        <f>IF(AND(B730='111'!$L$11,OR($N730=$Q$7,$O730=$Q$7)),"x","")</f>
        <v/>
      </c>
      <c r="R730" s="47" t="str">
        <f>IF(AND($N730=$Q$7,$B730&lt;'111'!$L$11),"x","")</f>
        <v/>
      </c>
      <c r="S730" s="47" t="str">
        <f>IF(AND($O730=$Q$7,$B730&lt;'111'!$L$11),"x","")</f>
        <v/>
      </c>
    </row>
    <row r="731" spans="1:19" ht="15.75" customHeight="1">
      <c r="A731" s="152" t="str">
        <f>IF(B731&lt;&gt;"",IF(AND(B731='IN-TC'!$S$4,OR(TH!N731="1111",TH!O731="1111")),TH!D731,""),"")</f>
        <v/>
      </c>
      <c r="B731" s="34">
        <f t="shared" si="26"/>
        <v>5</v>
      </c>
      <c r="C731" s="35">
        <f t="shared" si="27"/>
        <v>42506</v>
      </c>
      <c r="D731" s="212" t="s">
        <v>922</v>
      </c>
      <c r="E731" s="35">
        <v>42506</v>
      </c>
      <c r="F731" s="144" t="s">
        <v>652</v>
      </c>
      <c r="G731" s="191" t="s">
        <v>202</v>
      </c>
      <c r="H731" s="198"/>
      <c r="I731" s="186"/>
      <c r="J731" s="186"/>
      <c r="K731" s="185"/>
      <c r="L731" s="186"/>
      <c r="M731" s="36">
        <v>2121000</v>
      </c>
      <c r="N731" s="37"/>
      <c r="O731" s="37" t="s">
        <v>34</v>
      </c>
      <c r="P731" s="47" t="str">
        <f>IF(AND('331-CT'!$F$5=TH!H731,OR(N731="331",O731="331")),"x","")</f>
        <v/>
      </c>
      <c r="Q731" s="47" t="str">
        <f>IF(AND(B731='111'!$L$11,OR($N731=$Q$7,$O731=$Q$7)),"x","")</f>
        <v/>
      </c>
      <c r="R731" s="47" t="str">
        <f>IF(AND($N731=$Q$7,$B731&lt;'111'!$L$11),"x","")</f>
        <v/>
      </c>
      <c r="S731" s="47" t="str">
        <f>IF(AND($O731=$Q$7,$B731&lt;'111'!$L$11),"x","")</f>
        <v>x</v>
      </c>
    </row>
    <row r="732" spans="1:19" ht="15.75" customHeight="1">
      <c r="A732" s="152" t="str">
        <f>IF(B732&lt;&gt;"",IF(AND(B732='IN-TC'!$S$4,OR(TH!N732="1111",TH!O732="1111")),TH!D732,""),"")</f>
        <v/>
      </c>
      <c r="B732" s="34">
        <f t="shared" si="26"/>
        <v>5</v>
      </c>
      <c r="C732" s="35">
        <f t="shared" si="27"/>
        <v>42506</v>
      </c>
      <c r="D732" s="212" t="s">
        <v>923</v>
      </c>
      <c r="E732" s="35">
        <v>42506</v>
      </c>
      <c r="F732" s="144" t="s">
        <v>470</v>
      </c>
      <c r="G732" s="191" t="s">
        <v>208</v>
      </c>
      <c r="H732" s="198"/>
      <c r="I732" s="186"/>
      <c r="J732" s="186"/>
      <c r="K732" s="185"/>
      <c r="L732" s="186"/>
      <c r="M732" s="36">
        <v>900000</v>
      </c>
      <c r="N732" s="37"/>
      <c r="O732" s="37" t="s">
        <v>34</v>
      </c>
      <c r="P732" s="47" t="str">
        <f>IF(AND('331-CT'!$F$5=TH!H732,OR(N732="331",O732="331")),"x","")</f>
        <v/>
      </c>
      <c r="Q732" s="47" t="str">
        <f>IF(AND(B732='111'!$L$11,OR($N732=$Q$7,$O732=$Q$7)),"x","")</f>
        <v/>
      </c>
      <c r="R732" s="47" t="str">
        <f>IF(AND($N732=$Q$7,$B732&lt;'111'!$L$11),"x","")</f>
        <v/>
      </c>
      <c r="S732" s="47" t="str">
        <f>IF(AND($O732=$Q$7,$B732&lt;'111'!$L$11),"x","")</f>
        <v>x</v>
      </c>
    </row>
    <row r="733" spans="1:19" ht="15.75" customHeight="1">
      <c r="A733" s="152" t="str">
        <f>IF(B733&lt;&gt;"",IF(AND(B733='IN-TC'!$S$4,OR(TH!N733="1111",TH!O733="1111")),TH!D733,""),"")</f>
        <v/>
      </c>
      <c r="B733" s="34">
        <f t="shared" si="26"/>
        <v>5</v>
      </c>
      <c r="C733" s="35">
        <f t="shared" si="27"/>
        <v>42506</v>
      </c>
      <c r="D733" s="212" t="s">
        <v>924</v>
      </c>
      <c r="E733" s="35">
        <v>42506</v>
      </c>
      <c r="F733" s="144" t="s">
        <v>653</v>
      </c>
      <c r="G733" s="191" t="s">
        <v>111</v>
      </c>
      <c r="H733" s="198"/>
      <c r="I733" s="186"/>
      <c r="J733" s="186"/>
      <c r="K733" s="185"/>
      <c r="L733" s="186"/>
      <c r="M733" s="36">
        <v>300000</v>
      </c>
      <c r="N733" s="37"/>
      <c r="O733" s="37" t="s">
        <v>34</v>
      </c>
      <c r="P733" s="47" t="str">
        <f>IF(AND('331-CT'!$F$5=TH!H733,OR(N733="331",O733="331")),"x","")</f>
        <v/>
      </c>
      <c r="Q733" s="47" t="str">
        <f>IF(AND(B733='111'!$L$11,OR($N733=$Q$7,$O733=$Q$7)),"x","")</f>
        <v/>
      </c>
      <c r="R733" s="47" t="str">
        <f>IF(AND($N733=$Q$7,$B733&lt;'111'!$L$11),"x","")</f>
        <v/>
      </c>
      <c r="S733" s="47" t="str">
        <f>IF(AND($O733=$Q$7,$B733&lt;'111'!$L$11),"x","")</f>
        <v>x</v>
      </c>
    </row>
    <row r="734" spans="1:19" ht="15.75" customHeight="1">
      <c r="A734" s="152" t="str">
        <f>IF(B734&lt;&gt;"",IF(AND(B734='IN-TC'!$S$4,OR(TH!N734="1111",TH!O734="1111")),TH!D734,""),"")</f>
        <v/>
      </c>
      <c r="B734" s="34">
        <f t="shared" si="26"/>
        <v>5</v>
      </c>
      <c r="C734" s="35">
        <f t="shared" si="27"/>
        <v>42506</v>
      </c>
      <c r="D734" s="212" t="s">
        <v>925</v>
      </c>
      <c r="E734" s="35">
        <v>42506</v>
      </c>
      <c r="F734" s="144" t="s">
        <v>654</v>
      </c>
      <c r="G734" s="191" t="s">
        <v>202</v>
      </c>
      <c r="H734" s="198"/>
      <c r="I734" s="186"/>
      <c r="J734" s="186"/>
      <c r="K734" s="185"/>
      <c r="L734" s="186"/>
      <c r="M734" s="36">
        <v>335000</v>
      </c>
      <c r="N734" s="37"/>
      <c r="O734" s="37" t="s">
        <v>34</v>
      </c>
      <c r="P734" s="47" t="str">
        <f>IF(AND('331-CT'!$F$5=TH!H734,OR(N734="331",O734="331")),"x","")</f>
        <v/>
      </c>
      <c r="Q734" s="47" t="str">
        <f>IF(AND(B734='111'!$L$11,OR($N734=$Q$7,$O734=$Q$7)),"x","")</f>
        <v/>
      </c>
      <c r="R734" s="47" t="str">
        <f>IF(AND($N734=$Q$7,$B734&lt;'111'!$L$11),"x","")</f>
        <v/>
      </c>
      <c r="S734" s="47" t="str">
        <f>IF(AND($O734=$Q$7,$B734&lt;'111'!$L$11),"x","")</f>
        <v>x</v>
      </c>
    </row>
    <row r="735" spans="1:19" ht="15.75" customHeight="1">
      <c r="A735" s="152" t="str">
        <f>IF(B735&lt;&gt;"",IF(AND(B735='IN-TC'!$S$4,OR(TH!N735="1111",TH!O735="1111")),TH!D735,""),"")</f>
        <v/>
      </c>
      <c r="B735" s="34">
        <f t="shared" si="26"/>
        <v>5</v>
      </c>
      <c r="C735" s="35">
        <f t="shared" si="27"/>
        <v>42506</v>
      </c>
      <c r="D735" s="212" t="s">
        <v>926</v>
      </c>
      <c r="E735" s="35">
        <v>42506</v>
      </c>
      <c r="F735" s="144" t="s">
        <v>630</v>
      </c>
      <c r="G735" s="191" t="s">
        <v>215</v>
      </c>
      <c r="H735" s="198"/>
      <c r="I735" s="186"/>
      <c r="J735" s="186"/>
      <c r="K735" s="185"/>
      <c r="L735" s="186"/>
      <c r="M735" s="36">
        <v>5000000</v>
      </c>
      <c r="N735" s="37"/>
      <c r="O735" s="37" t="s">
        <v>34</v>
      </c>
      <c r="P735" s="47" t="str">
        <f>IF(AND('331-CT'!$F$5=TH!H735,OR(N735="331",O735="331")),"x","")</f>
        <v/>
      </c>
      <c r="Q735" s="47" t="str">
        <f>IF(AND(B735='111'!$L$11,OR($N735=$Q$7,$O735=$Q$7)),"x","")</f>
        <v/>
      </c>
      <c r="R735" s="47" t="str">
        <f>IF(AND($N735=$Q$7,$B735&lt;'111'!$L$11),"x","")</f>
        <v/>
      </c>
      <c r="S735" s="47" t="str">
        <f>IF(AND($O735=$Q$7,$B735&lt;'111'!$L$11),"x","")</f>
        <v>x</v>
      </c>
    </row>
    <row r="736" spans="1:19" ht="15.75" customHeight="1">
      <c r="A736" s="152" t="str">
        <f>IF(B736&lt;&gt;"",IF(AND(B736='IN-TC'!$S$4,OR(TH!N736="1111",TH!O736="1111")),TH!D736,""),"")</f>
        <v/>
      </c>
      <c r="B736" s="34">
        <f t="shared" si="26"/>
        <v>5</v>
      </c>
      <c r="C736" s="35">
        <f t="shared" si="27"/>
        <v>42506</v>
      </c>
      <c r="D736" s="212"/>
      <c r="E736" s="35">
        <v>42506</v>
      </c>
      <c r="F736" s="144" t="s">
        <v>1466</v>
      </c>
      <c r="G736" s="191"/>
      <c r="H736" s="198" t="s">
        <v>840</v>
      </c>
      <c r="I736" s="186">
        <v>2943</v>
      </c>
      <c r="J736" s="186">
        <v>15000</v>
      </c>
      <c r="K736" s="185"/>
      <c r="L736" s="186"/>
      <c r="M736" s="36">
        <f>ROUND(I736*J736,0)</f>
        <v>44145000</v>
      </c>
      <c r="N736" s="37" t="s">
        <v>1443</v>
      </c>
      <c r="O736" s="37" t="s">
        <v>8</v>
      </c>
      <c r="P736" s="47" t="str">
        <f>IF(AND('331-CT'!$F$5=TH!H736,OR(N736="331",O736="331")),"x","")</f>
        <v/>
      </c>
      <c r="Q736" s="47" t="str">
        <f>IF(AND(B736='111'!$L$11,OR($N736=$Q$7,$O736=$Q$7)),"x","")</f>
        <v/>
      </c>
      <c r="R736" s="47" t="str">
        <f>IF(AND($N736=$Q$7,$B736&lt;'111'!$L$11),"x","")</f>
        <v/>
      </c>
      <c r="S736" s="47" t="str">
        <f>IF(AND($O736=$Q$7,$B736&lt;'111'!$L$11),"x","")</f>
        <v/>
      </c>
    </row>
    <row r="737" spans="1:19" ht="15.75" customHeight="1">
      <c r="A737" s="152" t="str">
        <f>IF(B737&lt;&gt;"",IF(AND(B737='IN-TC'!$S$4,OR(TH!N737="1111",TH!O737="1111")),TH!D737,""),"")</f>
        <v/>
      </c>
      <c r="B737" s="34">
        <f t="shared" si="26"/>
        <v>5</v>
      </c>
      <c r="C737" s="35">
        <f t="shared" si="27"/>
        <v>42507</v>
      </c>
      <c r="D737" s="212" t="s">
        <v>927</v>
      </c>
      <c r="E737" s="35">
        <v>42507</v>
      </c>
      <c r="F737" s="144" t="s">
        <v>655</v>
      </c>
      <c r="G737" s="191" t="s">
        <v>202</v>
      </c>
      <c r="H737" s="198"/>
      <c r="I737" s="186"/>
      <c r="J737" s="186"/>
      <c r="K737" s="185"/>
      <c r="L737" s="186"/>
      <c r="M737" s="36">
        <v>540000</v>
      </c>
      <c r="N737" s="37"/>
      <c r="O737" s="37" t="s">
        <v>34</v>
      </c>
      <c r="P737" s="47" t="str">
        <f>IF(AND('331-CT'!$F$5=TH!H737,OR(N737="331",O737="331")),"x","")</f>
        <v/>
      </c>
      <c r="Q737" s="47" t="str">
        <f>IF(AND(B737='111'!$L$11,OR($N737=$Q$7,$O737=$Q$7)),"x","")</f>
        <v/>
      </c>
      <c r="R737" s="47" t="str">
        <f>IF(AND($N737=$Q$7,$B737&lt;'111'!$L$11),"x","")</f>
        <v/>
      </c>
      <c r="S737" s="47" t="str">
        <f>IF(AND($O737=$Q$7,$B737&lt;'111'!$L$11),"x","")</f>
        <v>x</v>
      </c>
    </row>
    <row r="738" spans="1:19" ht="15.75" customHeight="1">
      <c r="A738" s="152" t="str">
        <f>IF(B738&lt;&gt;"",IF(AND(B738='IN-TC'!$S$4,OR(TH!N738="1111",TH!O738="1111")),TH!D738,""),"")</f>
        <v/>
      </c>
      <c r="B738" s="34">
        <f t="shared" si="26"/>
        <v>5</v>
      </c>
      <c r="C738" s="35">
        <f t="shared" si="27"/>
        <v>42507</v>
      </c>
      <c r="D738" s="212" t="s">
        <v>928</v>
      </c>
      <c r="E738" s="35">
        <v>42507</v>
      </c>
      <c r="F738" s="144" t="s">
        <v>656</v>
      </c>
      <c r="G738" s="191" t="s">
        <v>111</v>
      </c>
      <c r="H738" s="198"/>
      <c r="I738" s="186"/>
      <c r="J738" s="186"/>
      <c r="K738" s="185"/>
      <c r="L738" s="186"/>
      <c r="M738" s="36">
        <v>303000</v>
      </c>
      <c r="N738" s="37"/>
      <c r="O738" s="37" t="s">
        <v>34</v>
      </c>
      <c r="P738" s="47" t="str">
        <f>IF(AND('331-CT'!$F$5=TH!H738,OR(N738="331",O738="331")),"x","")</f>
        <v/>
      </c>
      <c r="Q738" s="47" t="str">
        <f>IF(AND(B738='111'!$L$11,OR($N738=$Q$7,$O738=$Q$7)),"x","")</f>
        <v/>
      </c>
      <c r="R738" s="47" t="str">
        <f>IF(AND($N738=$Q$7,$B738&lt;'111'!$L$11),"x","")</f>
        <v/>
      </c>
      <c r="S738" s="47" t="str">
        <f>IF(AND($O738=$Q$7,$B738&lt;'111'!$L$11),"x","")</f>
        <v>x</v>
      </c>
    </row>
    <row r="739" spans="1:19" ht="15.75" customHeight="1">
      <c r="A739" s="152" t="str">
        <f>IF(B739&lt;&gt;"",IF(AND(B739='IN-TC'!$S$4,OR(TH!N739="1111",TH!O739="1111")),TH!D739,""),"")</f>
        <v/>
      </c>
      <c r="B739" s="34">
        <f t="shared" si="26"/>
        <v>5</v>
      </c>
      <c r="C739" s="35">
        <f t="shared" si="27"/>
        <v>42507</v>
      </c>
      <c r="D739" s="212" t="s">
        <v>929</v>
      </c>
      <c r="E739" s="35">
        <v>42507</v>
      </c>
      <c r="F739" s="144" t="s">
        <v>657</v>
      </c>
      <c r="G739" s="191" t="s">
        <v>220</v>
      </c>
      <c r="H739" s="198"/>
      <c r="I739" s="186"/>
      <c r="J739" s="186"/>
      <c r="K739" s="185"/>
      <c r="L739" s="186"/>
      <c r="M739" s="36">
        <v>19635000</v>
      </c>
      <c r="N739" s="37"/>
      <c r="O739" s="37" t="s">
        <v>34</v>
      </c>
      <c r="P739" s="47" t="str">
        <f>IF(AND('331-CT'!$F$5=TH!H739,OR(N739="331",O739="331")),"x","")</f>
        <v/>
      </c>
      <c r="Q739" s="47" t="str">
        <f>IF(AND(B739='111'!$L$11,OR($N739=$Q$7,$O739=$Q$7)),"x","")</f>
        <v/>
      </c>
      <c r="R739" s="47" t="str">
        <f>IF(AND($N739=$Q$7,$B739&lt;'111'!$L$11),"x","")</f>
        <v/>
      </c>
      <c r="S739" s="47" t="str">
        <f>IF(AND($O739=$Q$7,$B739&lt;'111'!$L$11),"x","")</f>
        <v>x</v>
      </c>
    </row>
    <row r="740" spans="1:19" ht="15.75" customHeight="1">
      <c r="A740" s="152" t="str">
        <f>IF(B740&lt;&gt;"",IF(AND(B740='IN-TC'!$S$4,OR(TH!N740="1111",TH!O740="1111")),TH!D740,""),"")</f>
        <v/>
      </c>
      <c r="B740" s="34">
        <f t="shared" si="26"/>
        <v>5</v>
      </c>
      <c r="C740" s="35">
        <f t="shared" si="27"/>
        <v>42509</v>
      </c>
      <c r="D740" s="212" t="s">
        <v>1015</v>
      </c>
      <c r="E740" s="35">
        <v>42509</v>
      </c>
      <c r="F740" s="144" t="s">
        <v>176</v>
      </c>
      <c r="G740" s="191" t="s">
        <v>113</v>
      </c>
      <c r="H740" s="198"/>
      <c r="I740" s="186"/>
      <c r="J740" s="186"/>
      <c r="K740" s="185"/>
      <c r="L740" s="186"/>
      <c r="M740" s="36">
        <v>88200000</v>
      </c>
      <c r="N740" s="37" t="s">
        <v>34</v>
      </c>
      <c r="O740" s="37"/>
      <c r="P740" s="47" t="str">
        <f>IF(AND('331-CT'!$F$5=TH!H740,OR(N740="331",O740="331")),"x","")</f>
        <v/>
      </c>
      <c r="Q740" s="47" t="str">
        <f>IF(AND(B740='111'!$L$11,OR($N740=$Q$7,$O740=$Q$7)),"x","")</f>
        <v/>
      </c>
      <c r="R740" s="47" t="str">
        <f>IF(AND($N740=$Q$7,$B740&lt;'111'!$L$11),"x","")</f>
        <v>x</v>
      </c>
      <c r="S740" s="47" t="str">
        <f>IF(AND($O740=$Q$7,$B740&lt;'111'!$L$11),"x","")</f>
        <v/>
      </c>
    </row>
    <row r="741" spans="1:19" ht="15.75" customHeight="1">
      <c r="A741" s="152" t="str">
        <f>IF(B741&lt;&gt;"",IF(AND(B741='IN-TC'!$S$4,OR(TH!N741="1111",TH!O741="1111")),TH!D741,""),"")</f>
        <v/>
      </c>
      <c r="B741" s="34">
        <f t="shared" si="26"/>
        <v>5</v>
      </c>
      <c r="C741" s="35">
        <f t="shared" si="27"/>
        <v>42509</v>
      </c>
      <c r="D741" s="212" t="s">
        <v>940</v>
      </c>
      <c r="E741" s="35">
        <v>42509</v>
      </c>
      <c r="F741" s="144" t="s">
        <v>658</v>
      </c>
      <c r="G741" s="191" t="s">
        <v>213</v>
      </c>
      <c r="H741" s="198"/>
      <c r="I741" s="186"/>
      <c r="J741" s="186"/>
      <c r="K741" s="185"/>
      <c r="L741" s="186"/>
      <c r="M741" s="36">
        <v>3517000</v>
      </c>
      <c r="N741" s="37"/>
      <c r="O741" s="37" t="s">
        <v>34</v>
      </c>
      <c r="P741" s="47" t="str">
        <f>IF(AND('331-CT'!$F$5=TH!H741,OR(N741="331",O741="331")),"x","")</f>
        <v/>
      </c>
      <c r="Q741" s="47" t="str">
        <f>IF(AND(B741='111'!$L$11,OR($N741=$Q$7,$O741=$Q$7)),"x","")</f>
        <v/>
      </c>
      <c r="R741" s="47" t="str">
        <f>IF(AND($N741=$Q$7,$B741&lt;'111'!$L$11),"x","")</f>
        <v/>
      </c>
      <c r="S741" s="47" t="str">
        <f>IF(AND($O741=$Q$7,$B741&lt;'111'!$L$11),"x","")</f>
        <v>x</v>
      </c>
    </row>
    <row r="742" spans="1:19" ht="15.75" customHeight="1">
      <c r="A742" s="152" t="str">
        <f>IF(B742&lt;&gt;"",IF(AND(B742='IN-TC'!$S$4,OR(TH!N742="1111",TH!O742="1111")),TH!D742,""),"")</f>
        <v/>
      </c>
      <c r="B742" s="34">
        <f t="shared" si="26"/>
        <v>5</v>
      </c>
      <c r="C742" s="35">
        <f t="shared" si="27"/>
        <v>42509</v>
      </c>
      <c r="D742" s="212" t="s">
        <v>941</v>
      </c>
      <c r="E742" s="35">
        <v>42509</v>
      </c>
      <c r="F742" s="144" t="s">
        <v>473</v>
      </c>
      <c r="G742" s="191" t="s">
        <v>202</v>
      </c>
      <c r="H742" s="198"/>
      <c r="I742" s="186"/>
      <c r="J742" s="186"/>
      <c r="K742" s="185"/>
      <c r="L742" s="186"/>
      <c r="M742" s="36">
        <v>128000</v>
      </c>
      <c r="N742" s="37"/>
      <c r="O742" s="37" t="s">
        <v>34</v>
      </c>
      <c r="P742" s="47" t="str">
        <f>IF(AND('331-CT'!$F$5=TH!H742,OR(N742="331",O742="331")),"x","")</f>
        <v/>
      </c>
      <c r="Q742" s="47" t="str">
        <f>IF(AND(B742='111'!$L$11,OR($N742=$Q$7,$O742=$Q$7)),"x","")</f>
        <v/>
      </c>
      <c r="R742" s="47" t="str">
        <f>IF(AND($N742=$Q$7,$B742&lt;'111'!$L$11),"x","")</f>
        <v/>
      </c>
      <c r="S742" s="47" t="str">
        <f>IF(AND($O742=$Q$7,$B742&lt;'111'!$L$11),"x","")</f>
        <v>x</v>
      </c>
    </row>
    <row r="743" spans="1:19" ht="15.75" customHeight="1">
      <c r="A743" s="152" t="str">
        <f>IF(B743&lt;&gt;"",IF(AND(B743='IN-TC'!$S$4,OR(TH!N743="1111",TH!O743="1111")),TH!D743,""),"")</f>
        <v/>
      </c>
      <c r="B743" s="34">
        <f t="shared" si="26"/>
        <v>5</v>
      </c>
      <c r="C743" s="35">
        <f t="shared" si="27"/>
        <v>42509</v>
      </c>
      <c r="D743" s="212" t="s">
        <v>942</v>
      </c>
      <c r="E743" s="35">
        <v>42509</v>
      </c>
      <c r="F743" s="144" t="s">
        <v>659</v>
      </c>
      <c r="G743" s="191" t="s">
        <v>204</v>
      </c>
      <c r="H743" s="198"/>
      <c r="I743" s="186"/>
      <c r="J743" s="186"/>
      <c r="K743" s="185"/>
      <c r="L743" s="186"/>
      <c r="M743" s="36">
        <v>10000000</v>
      </c>
      <c r="N743" s="37"/>
      <c r="O743" s="37" t="s">
        <v>34</v>
      </c>
      <c r="P743" s="47" t="str">
        <f>IF(AND('331-CT'!$F$5=TH!H743,OR(N743="331",O743="331")),"x","")</f>
        <v/>
      </c>
      <c r="Q743" s="47" t="str">
        <f>IF(AND(B743='111'!$L$11,OR($N743=$Q$7,$O743=$Q$7)),"x","")</f>
        <v/>
      </c>
      <c r="R743" s="47" t="str">
        <f>IF(AND($N743=$Q$7,$B743&lt;'111'!$L$11),"x","")</f>
        <v/>
      </c>
      <c r="S743" s="47" t="str">
        <f>IF(AND($O743=$Q$7,$B743&lt;'111'!$L$11),"x","")</f>
        <v>x</v>
      </c>
    </row>
    <row r="744" spans="1:19" ht="15.75" customHeight="1">
      <c r="A744" s="152" t="str">
        <f>IF(B744&lt;&gt;"",IF(AND(B744='IN-TC'!$S$4,OR(TH!N744="1111",TH!O744="1111")),TH!D744,""),"")</f>
        <v/>
      </c>
      <c r="B744" s="34">
        <f t="shared" si="26"/>
        <v>5</v>
      </c>
      <c r="C744" s="35">
        <f t="shared" si="27"/>
        <v>42509</v>
      </c>
      <c r="D744" s="212" t="s">
        <v>943</v>
      </c>
      <c r="E744" s="35">
        <v>42509</v>
      </c>
      <c r="F744" s="144" t="s">
        <v>660</v>
      </c>
      <c r="G744" s="191" t="s">
        <v>207</v>
      </c>
      <c r="H744" s="198"/>
      <c r="I744" s="186"/>
      <c r="J744" s="186"/>
      <c r="K744" s="185"/>
      <c r="L744" s="186"/>
      <c r="M744" s="36">
        <v>1000000</v>
      </c>
      <c r="N744" s="37"/>
      <c r="O744" s="37" t="s">
        <v>34</v>
      </c>
      <c r="P744" s="47" t="str">
        <f>IF(AND('331-CT'!$F$5=TH!H744,OR(N744="331",O744="331")),"x","")</f>
        <v/>
      </c>
      <c r="Q744" s="47" t="str">
        <f>IF(AND(B744='111'!$L$11,OR($N744=$Q$7,$O744=$Q$7)),"x","")</f>
        <v/>
      </c>
      <c r="R744" s="47" t="str">
        <f>IF(AND($N744=$Q$7,$B744&lt;'111'!$L$11),"x","")</f>
        <v/>
      </c>
      <c r="S744" s="47" t="str">
        <f>IF(AND($O744=$Q$7,$B744&lt;'111'!$L$11),"x","")</f>
        <v>x</v>
      </c>
    </row>
    <row r="745" spans="1:19" ht="15.75" customHeight="1">
      <c r="A745" s="152" t="str">
        <f>IF(B745&lt;&gt;"",IF(AND(B745='IN-TC'!$S$4,OR(TH!N745="1111",TH!O745="1111")),TH!D745,""),"")</f>
        <v/>
      </c>
      <c r="B745" s="34">
        <f t="shared" si="26"/>
        <v>5</v>
      </c>
      <c r="C745" s="35">
        <f t="shared" si="27"/>
        <v>42509</v>
      </c>
      <c r="D745" s="212" t="s">
        <v>944</v>
      </c>
      <c r="E745" s="35">
        <v>42509</v>
      </c>
      <c r="F745" s="144" t="s">
        <v>227</v>
      </c>
      <c r="G745" s="191" t="s">
        <v>227</v>
      </c>
      <c r="H745" s="198"/>
      <c r="I745" s="186"/>
      <c r="J745" s="186"/>
      <c r="K745" s="185"/>
      <c r="L745" s="186"/>
      <c r="M745" s="36">
        <v>4139000</v>
      </c>
      <c r="N745" s="37"/>
      <c r="O745" s="37" t="s">
        <v>34</v>
      </c>
      <c r="P745" s="47" t="str">
        <f>IF(AND('331-CT'!$F$5=TH!H745,OR(N745="331",O745="331")),"x","")</f>
        <v/>
      </c>
      <c r="Q745" s="47" t="str">
        <f>IF(AND(B745='111'!$L$11,OR($N745=$Q$7,$O745=$Q$7)),"x","")</f>
        <v/>
      </c>
      <c r="R745" s="47" t="str">
        <f>IF(AND($N745=$Q$7,$B745&lt;'111'!$L$11),"x","")</f>
        <v/>
      </c>
      <c r="S745" s="47" t="str">
        <f>IF(AND($O745=$Q$7,$B745&lt;'111'!$L$11),"x","")</f>
        <v>x</v>
      </c>
    </row>
    <row r="746" spans="1:19" ht="15.75" customHeight="1">
      <c r="A746" s="152" t="str">
        <f>IF(B746&lt;&gt;"",IF(AND(B746='IN-TC'!$S$4,OR(TH!N746="1111",TH!O746="1111")),TH!D746,""),"")</f>
        <v/>
      </c>
      <c r="B746" s="34">
        <f t="shared" si="26"/>
        <v>5</v>
      </c>
      <c r="C746" s="35">
        <f t="shared" si="27"/>
        <v>42509</v>
      </c>
      <c r="D746" s="212" t="s">
        <v>945</v>
      </c>
      <c r="E746" s="35">
        <v>42509</v>
      </c>
      <c r="F746" s="144" t="s">
        <v>661</v>
      </c>
      <c r="G746" s="191" t="s">
        <v>202</v>
      </c>
      <c r="H746" s="198"/>
      <c r="I746" s="186"/>
      <c r="J746" s="186"/>
      <c r="K746" s="185"/>
      <c r="L746" s="186"/>
      <c r="M746" s="36">
        <v>360000</v>
      </c>
      <c r="N746" s="37"/>
      <c r="O746" s="37" t="s">
        <v>34</v>
      </c>
      <c r="P746" s="47" t="str">
        <f>IF(AND('331-CT'!$F$5=TH!H746,OR(N746="331",O746="331")),"x","")</f>
        <v/>
      </c>
      <c r="Q746" s="47" t="str">
        <f>IF(AND(B746='111'!$L$11,OR($N746=$Q$7,$O746=$Q$7)),"x","")</f>
        <v/>
      </c>
      <c r="R746" s="47" t="str">
        <f>IF(AND($N746=$Q$7,$B746&lt;'111'!$L$11),"x","")</f>
        <v/>
      </c>
      <c r="S746" s="47" t="str">
        <f>IF(AND($O746=$Q$7,$B746&lt;'111'!$L$11),"x","")</f>
        <v>x</v>
      </c>
    </row>
    <row r="747" spans="1:19" ht="15.75" customHeight="1">
      <c r="A747" s="152" t="str">
        <f>IF(B747&lt;&gt;"",IF(AND(B747='IN-TC'!$S$4,OR(TH!N747="1111",TH!O747="1111")),TH!D747,""),"")</f>
        <v/>
      </c>
      <c r="B747" s="34">
        <f t="shared" si="26"/>
        <v>5</v>
      </c>
      <c r="C747" s="35">
        <f t="shared" si="27"/>
        <v>42510</v>
      </c>
      <c r="D747" s="212" t="s">
        <v>1029</v>
      </c>
      <c r="E747" s="35">
        <v>42510</v>
      </c>
      <c r="F747" s="144" t="s">
        <v>177</v>
      </c>
      <c r="G747" s="191" t="s">
        <v>104</v>
      </c>
      <c r="H747" s="198"/>
      <c r="I747" s="186"/>
      <c r="J747" s="186"/>
      <c r="K747" s="185"/>
      <c r="L747" s="186"/>
      <c r="M747" s="36">
        <v>150000000</v>
      </c>
      <c r="N747" s="37" t="s">
        <v>34</v>
      </c>
      <c r="O747" s="37"/>
      <c r="P747" s="47" t="str">
        <f>IF(AND('331-CT'!$F$5=TH!H747,OR(N747="331",O747="331")),"x","")</f>
        <v/>
      </c>
      <c r="Q747" s="47" t="str">
        <f>IF(AND(B747='111'!$L$11,OR($N747=$Q$7,$O747=$Q$7)),"x","")</f>
        <v/>
      </c>
      <c r="R747" s="47" t="str">
        <f>IF(AND($N747=$Q$7,$B747&lt;'111'!$L$11),"x","")</f>
        <v>x</v>
      </c>
      <c r="S747" s="47" t="str">
        <f>IF(AND($O747=$Q$7,$B747&lt;'111'!$L$11),"x","")</f>
        <v/>
      </c>
    </row>
    <row r="748" spans="1:19" ht="15.75" customHeight="1">
      <c r="A748" s="152" t="str">
        <f>IF(B748&lt;&gt;"",IF(AND(B748='IN-TC'!$S$4,OR(TH!N748="1111",TH!O748="1111")),TH!D748,""),"")</f>
        <v/>
      </c>
      <c r="B748" s="34">
        <f t="shared" si="26"/>
        <v>5</v>
      </c>
      <c r="C748" s="35">
        <f t="shared" si="27"/>
        <v>42510</v>
      </c>
      <c r="D748" s="212" t="s">
        <v>946</v>
      </c>
      <c r="E748" s="35">
        <v>42510</v>
      </c>
      <c r="F748" s="144" t="s">
        <v>602</v>
      </c>
      <c r="G748" s="191" t="s">
        <v>206</v>
      </c>
      <c r="H748" s="198" t="s">
        <v>831</v>
      </c>
      <c r="I748" s="186"/>
      <c r="J748" s="186"/>
      <c r="K748" s="185"/>
      <c r="L748" s="186"/>
      <c r="M748" s="36">
        <v>74615000</v>
      </c>
      <c r="N748" s="37" t="s">
        <v>8</v>
      </c>
      <c r="O748" s="37" t="s">
        <v>34</v>
      </c>
      <c r="P748" s="47" t="str">
        <f>IF(AND('331-CT'!$F$5=TH!H748,OR(N748="331",O748="331")),"x","")</f>
        <v/>
      </c>
      <c r="Q748" s="47" t="str">
        <f>IF(AND(B748='111'!$L$11,OR($N748=$Q$7,$O748=$Q$7)),"x","")</f>
        <v/>
      </c>
      <c r="R748" s="47" t="str">
        <f>IF(AND($N748=$Q$7,$B748&lt;'111'!$L$11),"x","")</f>
        <v/>
      </c>
      <c r="S748" s="47" t="str">
        <f>IF(AND($O748=$Q$7,$B748&lt;'111'!$L$11),"x","")</f>
        <v>x</v>
      </c>
    </row>
    <row r="749" spans="1:19" ht="15.75" customHeight="1">
      <c r="A749" s="152" t="str">
        <f>IF(B749&lt;&gt;"",IF(AND(B749='IN-TC'!$S$4,OR(TH!N749="1111",TH!O749="1111")),TH!D749,""),"")</f>
        <v/>
      </c>
      <c r="B749" s="34">
        <f t="shared" si="26"/>
        <v>5</v>
      </c>
      <c r="C749" s="35">
        <f t="shared" si="27"/>
        <v>42510</v>
      </c>
      <c r="D749" s="212" t="s">
        <v>946</v>
      </c>
      <c r="E749" s="35">
        <v>42510</v>
      </c>
      <c r="F749" s="144" t="s">
        <v>1424</v>
      </c>
      <c r="G749" s="191"/>
      <c r="H749" s="198"/>
      <c r="I749" s="186"/>
      <c r="J749" s="186"/>
      <c r="K749" s="185"/>
      <c r="L749" s="186"/>
      <c r="M749" s="36">
        <v>37000</v>
      </c>
      <c r="N749" s="37" t="s">
        <v>8</v>
      </c>
      <c r="O749" s="37" t="s">
        <v>34</v>
      </c>
      <c r="P749" s="47" t="str">
        <f>IF(AND('331-CT'!$F$5=TH!H749,OR(N749="331",O749="331")),"x","")</f>
        <v/>
      </c>
      <c r="Q749" s="47" t="str">
        <f>IF(AND(B749='111'!$L$11,OR($N749=$Q$7,$O749=$Q$7)),"x","")</f>
        <v/>
      </c>
      <c r="R749" s="47" t="str">
        <f>IF(AND($N749=$Q$7,$B749&lt;'111'!$L$11),"x","")</f>
        <v/>
      </c>
      <c r="S749" s="47" t="str">
        <f>IF(AND($O749=$Q$7,$B749&lt;'111'!$L$11),"x","")</f>
        <v>x</v>
      </c>
    </row>
    <row r="750" spans="1:19" ht="15.75" customHeight="1">
      <c r="A750" s="152" t="str">
        <f>IF(B750&lt;&gt;"",IF(AND(B750='IN-TC'!$S$4,OR(TH!N750="1111",TH!O750="1111")),TH!D750,""),"")</f>
        <v/>
      </c>
      <c r="B750" s="34">
        <f t="shared" si="26"/>
        <v>5</v>
      </c>
      <c r="C750" s="35">
        <f t="shared" si="27"/>
        <v>42510</v>
      </c>
      <c r="D750" s="212" t="s">
        <v>947</v>
      </c>
      <c r="E750" s="35">
        <v>42510</v>
      </c>
      <c r="F750" s="144" t="s">
        <v>572</v>
      </c>
      <c r="G750" s="191" t="s">
        <v>206</v>
      </c>
      <c r="H750" s="198" t="s">
        <v>816</v>
      </c>
      <c r="I750" s="186"/>
      <c r="J750" s="186"/>
      <c r="K750" s="185"/>
      <c r="L750" s="186"/>
      <c r="M750" s="36">
        <v>77323000</v>
      </c>
      <c r="N750" s="37" t="s">
        <v>8</v>
      </c>
      <c r="O750" s="37" t="s">
        <v>34</v>
      </c>
      <c r="P750" s="47" t="str">
        <f>IF(AND('331-CT'!$F$5=TH!H750,OR(N750="331",O750="331")),"x","")</f>
        <v/>
      </c>
      <c r="Q750" s="47" t="str">
        <f>IF(AND(B750='111'!$L$11,OR($N750=$Q$7,$O750=$Q$7)),"x","")</f>
        <v/>
      </c>
      <c r="R750" s="47" t="str">
        <f>IF(AND($N750=$Q$7,$B750&lt;'111'!$L$11),"x","")</f>
        <v/>
      </c>
      <c r="S750" s="47" t="str">
        <f>IF(AND($O750=$Q$7,$B750&lt;'111'!$L$11),"x","")</f>
        <v>x</v>
      </c>
    </row>
    <row r="751" spans="1:19" ht="15.75" customHeight="1">
      <c r="A751" s="152" t="str">
        <f>IF(B751&lt;&gt;"",IF(AND(B751='IN-TC'!$S$4,OR(TH!N751="1111",TH!O751="1111")),TH!D751,""),"")</f>
        <v/>
      </c>
      <c r="B751" s="34">
        <f t="shared" si="26"/>
        <v>5</v>
      </c>
      <c r="C751" s="35">
        <f t="shared" si="27"/>
        <v>42511</v>
      </c>
      <c r="D751" s="212" t="s">
        <v>948</v>
      </c>
      <c r="E751" s="35">
        <v>42511</v>
      </c>
      <c r="F751" s="144" t="s">
        <v>662</v>
      </c>
      <c r="G751" s="191" t="s">
        <v>203</v>
      </c>
      <c r="H751" s="198" t="s">
        <v>1042</v>
      </c>
      <c r="I751" s="186"/>
      <c r="J751" s="186"/>
      <c r="K751" s="185"/>
      <c r="L751" s="186"/>
      <c r="M751" s="36">
        <v>25033000</v>
      </c>
      <c r="N751" s="37" t="s">
        <v>814</v>
      </c>
      <c r="O751" s="37" t="s">
        <v>34</v>
      </c>
      <c r="P751" s="47" t="str">
        <f>IF(AND('331-CT'!$F$5=TH!H751,OR(N751="331",O751="331")),"x","")</f>
        <v/>
      </c>
      <c r="Q751" s="47" t="str">
        <f>IF(AND(B751='111'!$L$11,OR($N751=$Q$7,$O751=$Q$7)),"x","")</f>
        <v/>
      </c>
      <c r="R751" s="47" t="str">
        <f>IF(AND($N751=$Q$7,$B751&lt;'111'!$L$11),"x","")</f>
        <v/>
      </c>
      <c r="S751" s="47" t="str">
        <f>IF(AND($O751=$Q$7,$B751&lt;'111'!$L$11),"x","")</f>
        <v>x</v>
      </c>
    </row>
    <row r="752" spans="1:19" ht="15.75" customHeight="1">
      <c r="A752" s="152" t="str">
        <f>IF(B752&lt;&gt;"",IF(AND(B752='IN-TC'!$S$4,OR(TH!N752="1111",TH!O752="1111")),TH!D752,""),"")</f>
        <v/>
      </c>
      <c r="B752" s="34">
        <f t="shared" si="26"/>
        <v>5</v>
      </c>
      <c r="C752" s="35">
        <f t="shared" si="27"/>
        <v>42511</v>
      </c>
      <c r="D752" s="212" t="s">
        <v>949</v>
      </c>
      <c r="E752" s="35">
        <v>42511</v>
      </c>
      <c r="F752" s="144" t="s">
        <v>610</v>
      </c>
      <c r="G752" s="191" t="s">
        <v>202</v>
      </c>
      <c r="H752" s="198"/>
      <c r="I752" s="186"/>
      <c r="J752" s="186"/>
      <c r="K752" s="185"/>
      <c r="L752" s="186"/>
      <c r="M752" s="36">
        <v>733000</v>
      </c>
      <c r="N752" s="37"/>
      <c r="O752" s="37" t="s">
        <v>34</v>
      </c>
      <c r="P752" s="47" t="str">
        <f>IF(AND('331-CT'!$F$5=TH!H752,OR(N752="331",O752="331")),"x","")</f>
        <v/>
      </c>
      <c r="Q752" s="47" t="str">
        <f>IF(AND(B752='111'!$L$11,OR($N752=$Q$7,$O752=$Q$7)),"x","")</f>
        <v/>
      </c>
      <c r="R752" s="47" t="str">
        <f>IF(AND($N752=$Q$7,$B752&lt;'111'!$L$11),"x","")</f>
        <v/>
      </c>
      <c r="S752" s="47" t="str">
        <f>IF(AND($O752=$Q$7,$B752&lt;'111'!$L$11),"x","")</f>
        <v>x</v>
      </c>
    </row>
    <row r="753" spans="1:19" ht="15.75" customHeight="1">
      <c r="A753" s="152" t="str">
        <f>IF(B753&lt;&gt;"",IF(AND(B753='IN-TC'!$S$4,OR(TH!N753="1111",TH!O753="1111")),TH!D753,""),"")</f>
        <v/>
      </c>
      <c r="B753" s="34">
        <f t="shared" si="26"/>
        <v>5</v>
      </c>
      <c r="C753" s="35">
        <f t="shared" si="27"/>
        <v>42511</v>
      </c>
      <c r="D753" s="212" t="s">
        <v>950</v>
      </c>
      <c r="E753" s="35">
        <v>42511</v>
      </c>
      <c r="F753" s="144" t="s">
        <v>663</v>
      </c>
      <c r="G753" s="191" t="s">
        <v>228</v>
      </c>
      <c r="H753" s="198"/>
      <c r="I753" s="186"/>
      <c r="J753" s="186"/>
      <c r="K753" s="185"/>
      <c r="L753" s="186"/>
      <c r="M753" s="36">
        <v>550000</v>
      </c>
      <c r="N753" s="37"/>
      <c r="O753" s="37" t="s">
        <v>34</v>
      </c>
      <c r="P753" s="47" t="str">
        <f>IF(AND('331-CT'!$F$5=TH!H753,OR(N753="331",O753="331")),"x","")</f>
        <v/>
      </c>
      <c r="Q753" s="47" t="str">
        <f>IF(AND(B753='111'!$L$11,OR($N753=$Q$7,$O753=$Q$7)),"x","")</f>
        <v/>
      </c>
      <c r="R753" s="47" t="str">
        <f>IF(AND($N753=$Q$7,$B753&lt;'111'!$L$11),"x","")</f>
        <v/>
      </c>
      <c r="S753" s="47" t="str">
        <f>IF(AND($O753=$Q$7,$B753&lt;'111'!$L$11),"x","")</f>
        <v>x</v>
      </c>
    </row>
    <row r="754" spans="1:19" ht="15.75" customHeight="1">
      <c r="A754" s="152" t="str">
        <f>IF(B754&lt;&gt;"",IF(AND(B754='IN-TC'!$S$4,OR(TH!N754="1111",TH!O754="1111")),TH!D754,""),"")</f>
        <v/>
      </c>
      <c r="B754" s="34">
        <f t="shared" si="26"/>
        <v>5</v>
      </c>
      <c r="C754" s="35">
        <f t="shared" si="27"/>
        <v>42511</v>
      </c>
      <c r="D754" s="212" t="s">
        <v>951</v>
      </c>
      <c r="E754" s="35">
        <v>42511</v>
      </c>
      <c r="F754" s="144" t="s">
        <v>279</v>
      </c>
      <c r="G754" s="191" t="s">
        <v>202</v>
      </c>
      <c r="H754" s="198"/>
      <c r="I754" s="186"/>
      <c r="J754" s="186"/>
      <c r="K754" s="185"/>
      <c r="L754" s="186"/>
      <c r="M754" s="36">
        <v>150000</v>
      </c>
      <c r="N754" s="37"/>
      <c r="O754" s="37" t="s">
        <v>34</v>
      </c>
      <c r="P754" s="47" t="str">
        <f>IF(AND('331-CT'!$F$5=TH!H754,OR(N754="331",O754="331")),"x","")</f>
        <v/>
      </c>
      <c r="Q754" s="47" t="str">
        <f>IF(AND(B754='111'!$L$11,OR($N754=$Q$7,$O754=$Q$7)),"x","")</f>
        <v/>
      </c>
      <c r="R754" s="47" t="str">
        <f>IF(AND($N754=$Q$7,$B754&lt;'111'!$L$11),"x","")</f>
        <v/>
      </c>
      <c r="S754" s="47" t="str">
        <f>IF(AND($O754=$Q$7,$B754&lt;'111'!$L$11),"x","")</f>
        <v>x</v>
      </c>
    </row>
    <row r="755" spans="1:19" ht="15.75" customHeight="1">
      <c r="A755" s="152" t="str">
        <f>IF(B755&lt;&gt;"",IF(AND(B755='IN-TC'!$S$4,OR(TH!N755="1111",TH!O755="1111")),TH!D755,""),"")</f>
        <v/>
      </c>
      <c r="B755" s="34">
        <f t="shared" si="26"/>
        <v>5</v>
      </c>
      <c r="C755" s="35">
        <f t="shared" si="27"/>
        <v>42511</v>
      </c>
      <c r="D755" s="212"/>
      <c r="E755" s="35">
        <v>42511</v>
      </c>
      <c r="F755" s="144" t="s">
        <v>1467</v>
      </c>
      <c r="G755" s="191"/>
      <c r="H755" s="198" t="s">
        <v>831</v>
      </c>
      <c r="I755" s="186">
        <v>1230</v>
      </c>
      <c r="J755" s="186">
        <v>13000</v>
      </c>
      <c r="K755" s="185"/>
      <c r="L755" s="186"/>
      <c r="M755" s="36">
        <f>ROUND(I755*J755,0)</f>
        <v>15990000</v>
      </c>
      <c r="N755" s="37" t="s">
        <v>1443</v>
      </c>
      <c r="O755" s="37" t="s">
        <v>8</v>
      </c>
      <c r="P755" s="47" t="str">
        <f>IF(AND('331-CT'!$F$5=TH!H755,OR(N755="331",O755="331")),"x","")</f>
        <v/>
      </c>
      <c r="Q755" s="47" t="str">
        <f>IF(AND(B755='111'!$L$11,OR($N755=$Q$7,$O755=$Q$7)),"x","")</f>
        <v/>
      </c>
      <c r="R755" s="47" t="str">
        <f>IF(AND($N755=$Q$7,$B755&lt;'111'!$L$11),"x","")</f>
        <v/>
      </c>
      <c r="S755" s="47" t="str">
        <f>IF(AND($O755=$Q$7,$B755&lt;'111'!$L$11),"x","")</f>
        <v/>
      </c>
    </row>
    <row r="756" spans="1:19" ht="15.75" customHeight="1">
      <c r="A756" s="152" t="str">
        <f>IF(B756&lt;&gt;"",IF(AND(B756='IN-TC'!$S$4,OR(TH!N756="1111",TH!O756="1111")),TH!D756,""),"")</f>
        <v/>
      </c>
      <c r="B756" s="34">
        <f t="shared" si="26"/>
        <v>5</v>
      </c>
      <c r="C756" s="35">
        <f t="shared" si="27"/>
        <v>42513</v>
      </c>
      <c r="D756" s="212" t="s">
        <v>952</v>
      </c>
      <c r="E756" s="35">
        <v>42513</v>
      </c>
      <c r="F756" s="144" t="s">
        <v>664</v>
      </c>
      <c r="G756" s="191" t="s">
        <v>207</v>
      </c>
      <c r="H756" s="198"/>
      <c r="I756" s="186"/>
      <c r="J756" s="186"/>
      <c r="K756" s="185"/>
      <c r="L756" s="186"/>
      <c r="M756" s="36">
        <v>934000</v>
      </c>
      <c r="N756" s="37"/>
      <c r="O756" s="37" t="s">
        <v>34</v>
      </c>
      <c r="P756" s="47" t="str">
        <f>IF(AND('331-CT'!$F$5=TH!H756,OR(N756="331",O756="331")),"x","")</f>
        <v/>
      </c>
      <c r="Q756" s="47" t="str">
        <f>IF(AND(B756='111'!$L$11,OR($N756=$Q$7,$O756=$Q$7)),"x","")</f>
        <v/>
      </c>
      <c r="R756" s="47" t="str">
        <f>IF(AND($N756=$Q$7,$B756&lt;'111'!$L$11),"x","")</f>
        <v/>
      </c>
      <c r="S756" s="47" t="str">
        <f>IF(AND($O756=$Q$7,$B756&lt;'111'!$L$11),"x","")</f>
        <v>x</v>
      </c>
    </row>
    <row r="757" spans="1:19" ht="15.75" customHeight="1">
      <c r="A757" s="152" t="str">
        <f>IF(B757&lt;&gt;"",IF(AND(B757='IN-TC'!$S$4,OR(TH!N757="1111",TH!O757="1111")),TH!D757,""),"")</f>
        <v/>
      </c>
      <c r="B757" s="34">
        <f t="shared" si="26"/>
        <v>5</v>
      </c>
      <c r="C757" s="35">
        <f t="shared" si="27"/>
        <v>42513</v>
      </c>
      <c r="D757" s="212" t="s">
        <v>953</v>
      </c>
      <c r="E757" s="35">
        <v>42513</v>
      </c>
      <c r="F757" s="144" t="s">
        <v>665</v>
      </c>
      <c r="G757" s="191" t="s">
        <v>207</v>
      </c>
      <c r="H757" s="198"/>
      <c r="I757" s="186"/>
      <c r="J757" s="186"/>
      <c r="K757" s="185"/>
      <c r="L757" s="186"/>
      <c r="M757" s="36">
        <v>5000000</v>
      </c>
      <c r="N757" s="37"/>
      <c r="O757" s="37" t="s">
        <v>34</v>
      </c>
      <c r="P757" s="47" t="str">
        <f>IF(AND('331-CT'!$F$5=TH!H757,OR(N757="331",O757="331")),"x","")</f>
        <v/>
      </c>
      <c r="Q757" s="47" t="str">
        <f>IF(AND(B757='111'!$L$11,OR($N757=$Q$7,$O757=$Q$7)),"x","")</f>
        <v/>
      </c>
      <c r="R757" s="47" t="str">
        <f>IF(AND($N757=$Q$7,$B757&lt;'111'!$L$11),"x","")</f>
        <v/>
      </c>
      <c r="S757" s="47" t="str">
        <f>IF(AND($O757=$Q$7,$B757&lt;'111'!$L$11),"x","")</f>
        <v>x</v>
      </c>
    </row>
    <row r="758" spans="1:19" ht="15.75" customHeight="1">
      <c r="A758" s="152" t="str">
        <f>IF(B758&lt;&gt;"",IF(AND(B758='IN-TC'!$S$4,OR(TH!N758="1111",TH!O758="1111")),TH!D758,""),"")</f>
        <v/>
      </c>
      <c r="B758" s="34">
        <f t="shared" si="26"/>
        <v>5</v>
      </c>
      <c r="C758" s="35">
        <f t="shared" si="27"/>
        <v>42513</v>
      </c>
      <c r="D758" s="212" t="s">
        <v>954</v>
      </c>
      <c r="E758" s="35">
        <v>42513</v>
      </c>
      <c r="F758" s="144" t="s">
        <v>558</v>
      </c>
      <c r="G758" s="191" t="s">
        <v>204</v>
      </c>
      <c r="H758" s="198"/>
      <c r="I758" s="186"/>
      <c r="J758" s="186"/>
      <c r="K758" s="185"/>
      <c r="L758" s="186"/>
      <c r="M758" s="36">
        <v>640000</v>
      </c>
      <c r="N758" s="37"/>
      <c r="O758" s="37" t="s">
        <v>34</v>
      </c>
      <c r="P758" s="47" t="str">
        <f>IF(AND('331-CT'!$F$5=TH!H758,OR(N758="331",O758="331")),"x","")</f>
        <v/>
      </c>
      <c r="Q758" s="47" t="str">
        <f>IF(AND(B758='111'!$L$11,OR($N758=$Q$7,$O758=$Q$7)),"x","")</f>
        <v/>
      </c>
      <c r="R758" s="47" t="str">
        <f>IF(AND($N758=$Q$7,$B758&lt;'111'!$L$11),"x","")</f>
        <v/>
      </c>
      <c r="S758" s="47" t="str">
        <f>IF(AND($O758=$Q$7,$B758&lt;'111'!$L$11),"x","")</f>
        <v>x</v>
      </c>
    </row>
    <row r="759" spans="1:19" ht="15.75" customHeight="1">
      <c r="A759" s="152" t="str">
        <f>IF(B759&lt;&gt;"",IF(AND(B759='IN-TC'!$S$4,OR(TH!N759="1111",TH!O759="1111")),TH!D759,""),"")</f>
        <v/>
      </c>
      <c r="B759" s="34">
        <f t="shared" si="26"/>
        <v>5</v>
      </c>
      <c r="C759" s="35">
        <f t="shared" si="27"/>
        <v>42513</v>
      </c>
      <c r="D759" s="212" t="s">
        <v>955</v>
      </c>
      <c r="E759" s="35">
        <v>42513</v>
      </c>
      <c r="F759" s="144" t="s">
        <v>666</v>
      </c>
      <c r="G759" s="191" t="s">
        <v>205</v>
      </c>
      <c r="H759" s="198"/>
      <c r="I759" s="186"/>
      <c r="J759" s="186"/>
      <c r="K759" s="185"/>
      <c r="L759" s="186"/>
      <c r="M759" s="36">
        <v>200000</v>
      </c>
      <c r="N759" s="37"/>
      <c r="O759" s="37" t="s">
        <v>34</v>
      </c>
      <c r="P759" s="47" t="str">
        <f>IF(AND('331-CT'!$F$5=TH!H759,OR(N759="331",O759="331")),"x","")</f>
        <v/>
      </c>
      <c r="Q759" s="47" t="str">
        <f>IF(AND(B759='111'!$L$11,OR($N759=$Q$7,$O759=$Q$7)),"x","")</f>
        <v/>
      </c>
      <c r="R759" s="47" t="str">
        <f>IF(AND($N759=$Q$7,$B759&lt;'111'!$L$11),"x","")</f>
        <v/>
      </c>
      <c r="S759" s="47" t="str">
        <f>IF(AND($O759=$Q$7,$B759&lt;'111'!$L$11),"x","")</f>
        <v>x</v>
      </c>
    </row>
    <row r="760" spans="1:19" ht="15.75" customHeight="1">
      <c r="A760" s="152" t="str">
        <f>IF(B760&lt;&gt;"",IF(AND(B760='IN-TC'!$S$4,OR(TH!N760="1111",TH!O760="1111")),TH!D760,""),"")</f>
        <v/>
      </c>
      <c r="B760" s="34">
        <f t="shared" si="26"/>
        <v>5</v>
      </c>
      <c r="C760" s="35">
        <f t="shared" si="27"/>
        <v>42513</v>
      </c>
      <c r="D760" s="212" t="s">
        <v>956</v>
      </c>
      <c r="E760" s="35">
        <v>42513</v>
      </c>
      <c r="F760" s="144" t="s">
        <v>667</v>
      </c>
      <c r="G760" s="191" t="s">
        <v>204</v>
      </c>
      <c r="H760" s="198"/>
      <c r="I760" s="186"/>
      <c r="J760" s="186"/>
      <c r="K760" s="185"/>
      <c r="L760" s="186"/>
      <c r="M760" s="36">
        <v>3322000</v>
      </c>
      <c r="N760" s="37"/>
      <c r="O760" s="37" t="s">
        <v>34</v>
      </c>
      <c r="P760" s="47" t="str">
        <f>IF(AND('331-CT'!$F$5=TH!H760,OR(N760="331",O760="331")),"x","")</f>
        <v/>
      </c>
      <c r="Q760" s="47" t="str">
        <f>IF(AND(B760='111'!$L$11,OR($N760=$Q$7,$O760=$Q$7)),"x","")</f>
        <v/>
      </c>
      <c r="R760" s="47" t="str">
        <f>IF(AND($N760=$Q$7,$B760&lt;'111'!$L$11),"x","")</f>
        <v/>
      </c>
      <c r="S760" s="47" t="str">
        <f>IF(AND($O760=$Q$7,$B760&lt;'111'!$L$11),"x","")</f>
        <v>x</v>
      </c>
    </row>
    <row r="761" spans="1:19" ht="15.75" customHeight="1">
      <c r="A761" s="152" t="str">
        <f>IF(B761&lt;&gt;"",IF(AND(B761='IN-TC'!$S$4,OR(TH!N761="1111",TH!O761="1111")),TH!D761,""),"")</f>
        <v/>
      </c>
      <c r="B761" s="34">
        <f t="shared" si="26"/>
        <v>5</v>
      </c>
      <c r="C761" s="35">
        <f t="shared" si="27"/>
        <v>42513</v>
      </c>
      <c r="D761" s="212" t="s">
        <v>957</v>
      </c>
      <c r="E761" s="35">
        <v>42513</v>
      </c>
      <c r="F761" s="144" t="s">
        <v>668</v>
      </c>
      <c r="G761" s="191" t="s">
        <v>205</v>
      </c>
      <c r="H761" s="198"/>
      <c r="I761" s="186"/>
      <c r="J761" s="186"/>
      <c r="K761" s="185"/>
      <c r="L761" s="186"/>
      <c r="M761" s="36">
        <v>260000</v>
      </c>
      <c r="N761" s="37"/>
      <c r="O761" s="37" t="s">
        <v>34</v>
      </c>
      <c r="P761" s="47" t="str">
        <f>IF(AND('331-CT'!$F$5=TH!H761,OR(N761="331",O761="331")),"x","")</f>
        <v/>
      </c>
      <c r="Q761" s="47" t="str">
        <f>IF(AND(B761='111'!$L$11,OR($N761=$Q$7,$O761=$Q$7)),"x","")</f>
        <v/>
      </c>
      <c r="R761" s="47" t="str">
        <f>IF(AND($N761=$Q$7,$B761&lt;'111'!$L$11),"x","")</f>
        <v/>
      </c>
      <c r="S761" s="47" t="str">
        <f>IF(AND($O761=$Q$7,$B761&lt;'111'!$L$11),"x","")</f>
        <v>x</v>
      </c>
    </row>
    <row r="762" spans="1:19" ht="15.75" customHeight="1">
      <c r="A762" s="152" t="str">
        <f>IF(B762&lt;&gt;"",IF(AND(B762='IN-TC'!$S$4,OR(TH!N762="1111",TH!O762="1111")),TH!D762,""),"")</f>
        <v/>
      </c>
      <c r="B762" s="34">
        <f t="shared" si="26"/>
        <v>5</v>
      </c>
      <c r="C762" s="35">
        <f t="shared" si="27"/>
        <v>42513</v>
      </c>
      <c r="D762" s="212" t="s">
        <v>958</v>
      </c>
      <c r="E762" s="35">
        <v>42513</v>
      </c>
      <c r="F762" s="144" t="s">
        <v>669</v>
      </c>
      <c r="G762" s="191" t="s">
        <v>205</v>
      </c>
      <c r="H762" s="198"/>
      <c r="I762" s="186"/>
      <c r="J762" s="186"/>
      <c r="K762" s="185"/>
      <c r="L762" s="186"/>
      <c r="M762" s="36">
        <v>293000</v>
      </c>
      <c r="N762" s="37"/>
      <c r="O762" s="37" t="s">
        <v>34</v>
      </c>
      <c r="P762" s="47" t="str">
        <f>IF(AND('331-CT'!$F$5=TH!H762,OR(N762="331",O762="331")),"x","")</f>
        <v/>
      </c>
      <c r="Q762" s="47" t="str">
        <f>IF(AND(B762='111'!$L$11,OR($N762=$Q$7,$O762=$Q$7)),"x","")</f>
        <v/>
      </c>
      <c r="R762" s="47" t="str">
        <f>IF(AND($N762=$Q$7,$B762&lt;'111'!$L$11),"x","")</f>
        <v/>
      </c>
      <c r="S762" s="47" t="str">
        <f>IF(AND($O762=$Q$7,$B762&lt;'111'!$L$11),"x","")</f>
        <v>x</v>
      </c>
    </row>
    <row r="763" spans="1:19" ht="15.75" customHeight="1">
      <c r="A763" s="152" t="str">
        <f>IF(B763&lt;&gt;"",IF(AND(B763='IN-TC'!$S$4,OR(TH!N763="1111",TH!O763="1111")),TH!D763,""),"")</f>
        <v/>
      </c>
      <c r="B763" s="34">
        <f t="shared" si="26"/>
        <v>5</v>
      </c>
      <c r="C763" s="35">
        <f t="shared" si="27"/>
        <v>42513</v>
      </c>
      <c r="D763" s="212" t="s">
        <v>959</v>
      </c>
      <c r="E763" s="35">
        <v>42513</v>
      </c>
      <c r="F763" s="144" t="s">
        <v>670</v>
      </c>
      <c r="G763" s="191" t="s">
        <v>204</v>
      </c>
      <c r="H763" s="198"/>
      <c r="I763" s="186"/>
      <c r="J763" s="186"/>
      <c r="K763" s="185"/>
      <c r="L763" s="186"/>
      <c r="M763" s="36">
        <v>4000000</v>
      </c>
      <c r="N763" s="37"/>
      <c r="O763" s="37" t="s">
        <v>34</v>
      </c>
      <c r="P763" s="47" t="str">
        <f>IF(AND('331-CT'!$F$5=TH!H763,OR(N763="331",O763="331")),"x","")</f>
        <v/>
      </c>
      <c r="Q763" s="47" t="str">
        <f>IF(AND(B763='111'!$L$11,OR($N763=$Q$7,$O763=$Q$7)),"x","")</f>
        <v/>
      </c>
      <c r="R763" s="47" t="str">
        <f>IF(AND($N763=$Q$7,$B763&lt;'111'!$L$11),"x","")</f>
        <v/>
      </c>
      <c r="S763" s="47" t="str">
        <f>IF(AND($O763=$Q$7,$B763&lt;'111'!$L$11),"x","")</f>
        <v>x</v>
      </c>
    </row>
    <row r="764" spans="1:19" ht="15.75" customHeight="1">
      <c r="A764" s="152" t="str">
        <f>IF(B764&lt;&gt;"",IF(AND(B764='IN-TC'!$S$4,OR(TH!N764="1111",TH!O764="1111")),TH!D764,""),"")</f>
        <v/>
      </c>
      <c r="B764" s="34">
        <f t="shared" si="26"/>
        <v>5</v>
      </c>
      <c r="C764" s="35">
        <f t="shared" si="27"/>
        <v>42513</v>
      </c>
      <c r="D764" s="212"/>
      <c r="E764" s="35">
        <v>42513</v>
      </c>
      <c r="F764" s="144" t="s">
        <v>1467</v>
      </c>
      <c r="G764" s="191"/>
      <c r="H764" s="198" t="s">
        <v>831</v>
      </c>
      <c r="I764" s="186">
        <v>1120</v>
      </c>
      <c r="J764" s="186">
        <v>13000</v>
      </c>
      <c r="K764" s="185"/>
      <c r="L764" s="186"/>
      <c r="M764" s="36">
        <f>ROUND(I764*J764,0)</f>
        <v>14560000</v>
      </c>
      <c r="N764" s="37" t="s">
        <v>1443</v>
      </c>
      <c r="O764" s="37" t="s">
        <v>8</v>
      </c>
      <c r="P764" s="47" t="str">
        <f>IF(AND('331-CT'!$F$5=TH!H764,OR(N764="331",O764="331")),"x","")</f>
        <v/>
      </c>
      <c r="Q764" s="47" t="str">
        <f>IF(AND(B764='111'!$L$11,OR($N764=$Q$7,$O764=$Q$7)),"x","")</f>
        <v/>
      </c>
      <c r="R764" s="47" t="str">
        <f>IF(AND($N764=$Q$7,$B764&lt;'111'!$L$11),"x","")</f>
        <v/>
      </c>
      <c r="S764" s="47" t="str">
        <f>IF(AND($O764=$Q$7,$B764&lt;'111'!$L$11),"x","")</f>
        <v/>
      </c>
    </row>
    <row r="765" spans="1:19" ht="15.75" customHeight="1">
      <c r="A765" s="152" t="str">
        <f>IF(B765&lt;&gt;"",IF(AND(B765='IN-TC'!$S$4,OR(TH!N765="1111",TH!O765="1111")),TH!D765,""),"")</f>
        <v/>
      </c>
      <c r="B765" s="34">
        <f t="shared" si="26"/>
        <v>5</v>
      </c>
      <c r="C765" s="35">
        <f t="shared" si="27"/>
        <v>42513</v>
      </c>
      <c r="D765" s="212"/>
      <c r="E765" s="35">
        <v>42513</v>
      </c>
      <c r="F765" s="144" t="s">
        <v>1535</v>
      </c>
      <c r="G765" s="191"/>
      <c r="H765" s="198" t="s">
        <v>829</v>
      </c>
      <c r="I765" s="186">
        <v>37</v>
      </c>
      <c r="J765" s="186">
        <v>165000</v>
      </c>
      <c r="K765" s="185"/>
      <c r="L765" s="186"/>
      <c r="M765" s="36">
        <f>ROUND(I765*J765,-3)</f>
        <v>6105000</v>
      </c>
      <c r="N765" s="37" t="s">
        <v>8</v>
      </c>
      <c r="O765" s="37" t="s">
        <v>1443</v>
      </c>
      <c r="P765" s="47" t="str">
        <f>IF(AND('331-CT'!$F$5=TH!H765,OR(N765="331",O765="331")),"x","")</f>
        <v/>
      </c>
      <c r="Q765" s="47" t="str">
        <f>IF(AND(B765='111'!$L$11,OR($N765=$Q$7,$O765=$Q$7)),"x","")</f>
        <v/>
      </c>
      <c r="R765" s="47" t="str">
        <f>IF(AND($N765=$Q$7,$B765&lt;'111'!$L$11),"x","")</f>
        <v/>
      </c>
      <c r="S765" s="47" t="str">
        <f>IF(AND($O765=$Q$7,$B765&lt;'111'!$L$11),"x","")</f>
        <v/>
      </c>
    </row>
    <row r="766" spans="1:19" ht="15.75" customHeight="1">
      <c r="A766" s="152" t="str">
        <f>IF(B766&lt;&gt;"",IF(AND(B766='IN-TC'!$S$4,OR(TH!N766="1111",TH!O766="1111")),TH!D766,""),"")</f>
        <v/>
      </c>
      <c r="B766" s="34">
        <f t="shared" si="26"/>
        <v>5</v>
      </c>
      <c r="C766" s="35">
        <f t="shared" si="27"/>
        <v>42513</v>
      </c>
      <c r="D766" s="212"/>
      <c r="E766" s="35">
        <v>42513</v>
      </c>
      <c r="F766" s="144" t="s">
        <v>1536</v>
      </c>
      <c r="G766" s="191"/>
      <c r="H766" s="198" t="s">
        <v>829</v>
      </c>
      <c r="I766" s="186">
        <v>6</v>
      </c>
      <c r="J766" s="186">
        <v>165000</v>
      </c>
      <c r="K766" s="185"/>
      <c r="L766" s="186"/>
      <c r="M766" s="36">
        <f>ROUND(I766*J766,-3)</f>
        <v>990000</v>
      </c>
      <c r="N766" s="37" t="s">
        <v>8</v>
      </c>
      <c r="O766" s="37" t="s">
        <v>1443</v>
      </c>
      <c r="P766" s="47" t="str">
        <f>IF(AND('331-CT'!$F$5=TH!H766,OR(N766="331",O766="331")),"x","")</f>
        <v/>
      </c>
      <c r="Q766" s="47" t="str">
        <f>IF(AND(B766='111'!$L$11,OR($N766=$Q$7,$O766=$Q$7)),"x","")</f>
        <v/>
      </c>
      <c r="R766" s="47" t="str">
        <f>IF(AND($N766=$Q$7,$B766&lt;'111'!$L$11),"x","")</f>
        <v/>
      </c>
      <c r="S766" s="47" t="str">
        <f>IF(AND($O766=$Q$7,$B766&lt;'111'!$L$11),"x","")</f>
        <v/>
      </c>
    </row>
    <row r="767" spans="1:19" ht="15.75" customHeight="1">
      <c r="A767" s="152" t="str">
        <f>IF(B767&lt;&gt;"",IF(AND(B767='IN-TC'!$S$4,OR(TH!N767="1111",TH!O767="1111")),TH!D767,""),"")</f>
        <v/>
      </c>
      <c r="B767" s="34">
        <f t="shared" si="26"/>
        <v>5</v>
      </c>
      <c r="C767" s="35">
        <f t="shared" si="27"/>
        <v>42514</v>
      </c>
      <c r="D767" s="212" t="s">
        <v>960</v>
      </c>
      <c r="E767" s="35">
        <v>42514</v>
      </c>
      <c r="F767" s="144" t="s">
        <v>671</v>
      </c>
      <c r="G767" s="191" t="s">
        <v>207</v>
      </c>
      <c r="H767" s="198"/>
      <c r="I767" s="186"/>
      <c r="J767" s="186"/>
      <c r="K767" s="185"/>
      <c r="L767" s="186"/>
      <c r="M767" s="36">
        <v>500000</v>
      </c>
      <c r="N767" s="37"/>
      <c r="O767" s="37" t="s">
        <v>34</v>
      </c>
      <c r="P767" s="47" t="str">
        <f>IF(AND('331-CT'!$F$5=TH!H767,OR(N767="331",O767="331")),"x","")</f>
        <v/>
      </c>
      <c r="Q767" s="47" t="str">
        <f>IF(AND(B767='111'!$L$11,OR($N767=$Q$7,$O767=$Q$7)),"x","")</f>
        <v/>
      </c>
      <c r="R767" s="47" t="str">
        <f>IF(AND($N767=$Q$7,$B767&lt;'111'!$L$11),"x","")</f>
        <v/>
      </c>
      <c r="S767" s="47" t="str">
        <f>IF(AND($O767=$Q$7,$B767&lt;'111'!$L$11),"x","")</f>
        <v>x</v>
      </c>
    </row>
    <row r="768" spans="1:19" ht="15.75" customHeight="1">
      <c r="A768" s="152" t="str">
        <f>IF(B768&lt;&gt;"",IF(AND(B768='IN-TC'!$S$4,OR(TH!N768="1111",TH!O768="1111")),TH!D768,""),"")</f>
        <v/>
      </c>
      <c r="B768" s="34">
        <f t="shared" si="26"/>
        <v>5</v>
      </c>
      <c r="C768" s="35">
        <f t="shared" si="27"/>
        <v>42514</v>
      </c>
      <c r="D768" s="212" t="s">
        <v>961</v>
      </c>
      <c r="E768" s="35">
        <v>42514</v>
      </c>
      <c r="F768" s="144" t="s">
        <v>672</v>
      </c>
      <c r="G768" s="191" t="s">
        <v>203</v>
      </c>
      <c r="H768" s="198" t="s">
        <v>1409</v>
      </c>
      <c r="I768" s="186"/>
      <c r="J768" s="186"/>
      <c r="K768" s="185"/>
      <c r="L768" s="186"/>
      <c r="M768" s="36">
        <v>10011000</v>
      </c>
      <c r="N768" s="37" t="s">
        <v>814</v>
      </c>
      <c r="O768" s="37" t="s">
        <v>34</v>
      </c>
      <c r="P768" s="47" t="str">
        <f>IF(AND('331-CT'!$F$5=TH!H768,OR(N768="331",O768="331")),"x","")</f>
        <v/>
      </c>
      <c r="Q768" s="47" t="str">
        <f>IF(AND(B768='111'!$L$11,OR($N768=$Q$7,$O768=$Q$7)),"x","")</f>
        <v/>
      </c>
      <c r="R768" s="47" t="str">
        <f>IF(AND($N768=$Q$7,$B768&lt;'111'!$L$11),"x","")</f>
        <v/>
      </c>
      <c r="S768" s="47" t="str">
        <f>IF(AND($O768=$Q$7,$B768&lt;'111'!$L$11),"x","")</f>
        <v>x</v>
      </c>
    </row>
    <row r="769" spans="1:19" ht="15.75" customHeight="1">
      <c r="A769" s="152" t="str">
        <f>IF(B769&lt;&gt;"",IF(AND(B769='IN-TC'!$S$4,OR(TH!N769="1111",TH!O769="1111")),TH!D769,""),"")</f>
        <v/>
      </c>
      <c r="B769" s="34">
        <f t="shared" si="26"/>
        <v>5</v>
      </c>
      <c r="C769" s="35">
        <f t="shared" si="27"/>
        <v>42514</v>
      </c>
      <c r="D769" s="212" t="s">
        <v>962</v>
      </c>
      <c r="E769" s="35">
        <v>42514</v>
      </c>
      <c r="F769" s="144" t="s">
        <v>673</v>
      </c>
      <c r="G769" s="191" t="s">
        <v>110</v>
      </c>
      <c r="H769" s="198"/>
      <c r="I769" s="186"/>
      <c r="J769" s="186"/>
      <c r="K769" s="185"/>
      <c r="L769" s="186"/>
      <c r="M769" s="36">
        <v>5000000</v>
      </c>
      <c r="N769" s="37"/>
      <c r="O769" s="37" t="s">
        <v>34</v>
      </c>
      <c r="P769" s="47" t="str">
        <f>IF(AND('331-CT'!$F$5=TH!H769,OR(N769="331",O769="331")),"x","")</f>
        <v/>
      </c>
      <c r="Q769" s="47" t="str">
        <f>IF(AND(B769='111'!$L$11,OR($N769=$Q$7,$O769=$Q$7)),"x","")</f>
        <v/>
      </c>
      <c r="R769" s="47" t="str">
        <f>IF(AND($N769=$Q$7,$B769&lt;'111'!$L$11),"x","")</f>
        <v/>
      </c>
      <c r="S769" s="47" t="str">
        <f>IF(AND($O769=$Q$7,$B769&lt;'111'!$L$11),"x","")</f>
        <v>x</v>
      </c>
    </row>
    <row r="770" spans="1:19" ht="15.75" customHeight="1">
      <c r="A770" s="152" t="str">
        <f>IF(B770&lt;&gt;"",IF(AND(B770='IN-TC'!$S$4,OR(TH!N770="1111",TH!O770="1111")),TH!D770,""),"")</f>
        <v/>
      </c>
      <c r="B770" s="34">
        <f t="shared" si="26"/>
        <v>5</v>
      </c>
      <c r="C770" s="35">
        <f t="shared" si="27"/>
        <v>42514</v>
      </c>
      <c r="D770" s="212" t="s">
        <v>963</v>
      </c>
      <c r="E770" s="35">
        <v>42514</v>
      </c>
      <c r="F770" s="144" t="s">
        <v>674</v>
      </c>
      <c r="G770" s="191" t="s">
        <v>205</v>
      </c>
      <c r="H770" s="198"/>
      <c r="I770" s="186"/>
      <c r="J770" s="186"/>
      <c r="K770" s="185"/>
      <c r="L770" s="186"/>
      <c r="M770" s="36">
        <v>215000</v>
      </c>
      <c r="N770" s="37"/>
      <c r="O770" s="37" t="s">
        <v>34</v>
      </c>
      <c r="P770" s="47" t="str">
        <f>IF(AND('331-CT'!$F$5=TH!H770,OR(N770="331",O770="331")),"x","")</f>
        <v/>
      </c>
      <c r="Q770" s="47" t="str">
        <f>IF(AND(B770='111'!$L$11,OR($N770=$Q$7,$O770=$Q$7)),"x","")</f>
        <v/>
      </c>
      <c r="R770" s="47" t="str">
        <f>IF(AND($N770=$Q$7,$B770&lt;'111'!$L$11),"x","")</f>
        <v/>
      </c>
      <c r="S770" s="47" t="str">
        <f>IF(AND($O770=$Q$7,$B770&lt;'111'!$L$11),"x","")</f>
        <v>x</v>
      </c>
    </row>
    <row r="771" spans="1:19" ht="15.75" customHeight="1">
      <c r="A771" s="152" t="str">
        <f>IF(B771&lt;&gt;"",IF(AND(B771='IN-TC'!$S$4,OR(TH!N771="1111",TH!O771="1111")),TH!D771,""),"")</f>
        <v/>
      </c>
      <c r="B771" s="34">
        <f t="shared" si="26"/>
        <v>5</v>
      </c>
      <c r="C771" s="35">
        <f t="shared" si="27"/>
        <v>42514</v>
      </c>
      <c r="D771" s="212" t="s">
        <v>964</v>
      </c>
      <c r="E771" s="35">
        <v>42514</v>
      </c>
      <c r="F771" s="144" t="s">
        <v>675</v>
      </c>
      <c r="G771" s="191" t="s">
        <v>205</v>
      </c>
      <c r="H771" s="198"/>
      <c r="I771" s="186"/>
      <c r="J771" s="186"/>
      <c r="K771" s="185"/>
      <c r="L771" s="186"/>
      <c r="M771" s="36">
        <v>1950000</v>
      </c>
      <c r="N771" s="37"/>
      <c r="O771" s="37" t="s">
        <v>34</v>
      </c>
      <c r="P771" s="47" t="str">
        <f>IF(AND('331-CT'!$F$5=TH!H771,OR(N771="331",O771="331")),"x","")</f>
        <v/>
      </c>
      <c r="Q771" s="47" t="str">
        <f>IF(AND(B771='111'!$L$11,OR($N771=$Q$7,$O771=$Q$7)),"x","")</f>
        <v/>
      </c>
      <c r="R771" s="47" t="str">
        <f>IF(AND($N771=$Q$7,$B771&lt;'111'!$L$11),"x","")</f>
        <v/>
      </c>
      <c r="S771" s="47" t="str">
        <f>IF(AND($O771=$Q$7,$B771&lt;'111'!$L$11),"x","")</f>
        <v>x</v>
      </c>
    </row>
    <row r="772" spans="1:19" ht="15.75" customHeight="1">
      <c r="A772" s="152" t="str">
        <f>IF(B772&lt;&gt;"",IF(AND(B772='IN-TC'!$S$4,OR(TH!N772="1111",TH!O772="1111")),TH!D772,""),"")</f>
        <v/>
      </c>
      <c r="B772" s="34">
        <f t="shared" si="26"/>
        <v>5</v>
      </c>
      <c r="C772" s="35">
        <f t="shared" si="27"/>
        <v>42514</v>
      </c>
      <c r="D772" s="212" t="s">
        <v>965</v>
      </c>
      <c r="E772" s="35">
        <v>42514</v>
      </c>
      <c r="F772" s="144" t="s">
        <v>676</v>
      </c>
      <c r="G772" s="191" t="s">
        <v>228</v>
      </c>
      <c r="H772" s="198"/>
      <c r="I772" s="186"/>
      <c r="J772" s="186"/>
      <c r="K772" s="185"/>
      <c r="L772" s="186"/>
      <c r="M772" s="36">
        <v>1680000</v>
      </c>
      <c r="N772" s="37"/>
      <c r="O772" s="37" t="s">
        <v>34</v>
      </c>
      <c r="P772" s="47" t="str">
        <f>IF(AND('331-CT'!$F$5=TH!H772,OR(N772="331",O772="331")),"x","")</f>
        <v/>
      </c>
      <c r="Q772" s="47" t="str">
        <f>IF(AND(B772='111'!$L$11,OR($N772=$Q$7,$O772=$Q$7)),"x","")</f>
        <v/>
      </c>
      <c r="R772" s="47" t="str">
        <f>IF(AND($N772=$Q$7,$B772&lt;'111'!$L$11),"x","")</f>
        <v/>
      </c>
      <c r="S772" s="47" t="str">
        <f>IF(AND($O772=$Q$7,$B772&lt;'111'!$L$11),"x","")</f>
        <v>x</v>
      </c>
    </row>
    <row r="773" spans="1:19" ht="15.75" customHeight="1">
      <c r="A773" s="152" t="str">
        <f>IF(B773&lt;&gt;"",IF(AND(B773='IN-TC'!$S$4,OR(TH!N773="1111",TH!O773="1111")),TH!D773,""),"")</f>
        <v/>
      </c>
      <c r="B773" s="34">
        <f t="shared" si="26"/>
        <v>5</v>
      </c>
      <c r="C773" s="35">
        <f t="shared" si="27"/>
        <v>42514</v>
      </c>
      <c r="D773" s="212"/>
      <c r="E773" s="35">
        <v>42514</v>
      </c>
      <c r="F773" s="144" t="s">
        <v>1439</v>
      </c>
      <c r="G773" s="191"/>
      <c r="H773" s="198" t="s">
        <v>839</v>
      </c>
      <c r="I773" s="186">
        <v>1005</v>
      </c>
      <c r="J773" s="186">
        <v>115000</v>
      </c>
      <c r="K773" s="185"/>
      <c r="L773" s="186"/>
      <c r="M773" s="36">
        <f>ROUND(I773*J773,0)</f>
        <v>115575000</v>
      </c>
      <c r="N773" s="37" t="s">
        <v>8</v>
      </c>
      <c r="O773" s="37" t="s">
        <v>1443</v>
      </c>
      <c r="P773" s="47" t="str">
        <f>IF(AND('331-CT'!$F$5=TH!H773,OR(N773="331",O773="331")),"x","")</f>
        <v/>
      </c>
      <c r="Q773" s="47" t="str">
        <f>IF(AND(B773='111'!$L$11,OR($N773=$Q$7,$O773=$Q$7)),"x","")</f>
        <v/>
      </c>
      <c r="R773" s="47" t="str">
        <f>IF(AND($N773=$Q$7,$B773&lt;'111'!$L$11),"x","")</f>
        <v/>
      </c>
      <c r="S773" s="47" t="str">
        <f>IF(AND($O773=$Q$7,$B773&lt;'111'!$L$11),"x","")</f>
        <v/>
      </c>
    </row>
    <row r="774" spans="1:19" ht="15.75" customHeight="1">
      <c r="A774" s="152" t="str">
        <f>IF(B774&lt;&gt;"",IF(AND(B774='IN-TC'!$S$4,OR(TH!N774="1111",TH!O774="1111")),TH!D774,""),"")</f>
        <v/>
      </c>
      <c r="B774" s="34">
        <f t="shared" si="26"/>
        <v>5</v>
      </c>
      <c r="C774" s="35">
        <f t="shared" si="27"/>
        <v>42514</v>
      </c>
      <c r="D774" s="212"/>
      <c r="E774" s="35">
        <v>42514</v>
      </c>
      <c r="F774" s="144" t="s">
        <v>1473</v>
      </c>
      <c r="G774" s="191" t="s">
        <v>204</v>
      </c>
      <c r="H774" s="198" t="s">
        <v>832</v>
      </c>
      <c r="I774" s="186">
        <v>625</v>
      </c>
      <c r="J774" s="186">
        <v>21000</v>
      </c>
      <c r="K774" s="185"/>
      <c r="L774" s="186"/>
      <c r="M774" s="36">
        <f>ROUND(I774*J774,0)</f>
        <v>13125000</v>
      </c>
      <c r="N774" s="37" t="s">
        <v>1443</v>
      </c>
      <c r="O774" s="37" t="s">
        <v>8</v>
      </c>
      <c r="P774" s="47" t="str">
        <f>IF(AND('331-CT'!$F$5=TH!H774,OR(N774="331",O774="331")),"x","")</f>
        <v/>
      </c>
      <c r="Q774" s="47" t="str">
        <f>IF(AND(B774='111'!$L$11,OR($N774=$Q$7,$O774=$Q$7)),"x","")</f>
        <v/>
      </c>
      <c r="R774" s="47" t="str">
        <f>IF(AND($N774=$Q$7,$B774&lt;'111'!$L$11),"x","")</f>
        <v/>
      </c>
      <c r="S774" s="47" t="str">
        <f>IF(AND($O774=$Q$7,$B774&lt;'111'!$L$11),"x","")</f>
        <v/>
      </c>
    </row>
    <row r="775" spans="1:19" ht="15.75" customHeight="1">
      <c r="A775" s="152" t="str">
        <f>IF(B775&lt;&gt;"",IF(AND(B775='IN-TC'!$S$4,OR(TH!N775="1111",TH!O775="1111")),TH!D775,""),"")</f>
        <v/>
      </c>
      <c r="B775" s="34">
        <f t="shared" si="26"/>
        <v>5</v>
      </c>
      <c r="C775" s="35">
        <f t="shared" si="27"/>
        <v>42515</v>
      </c>
      <c r="D775" s="212" t="s">
        <v>1030</v>
      </c>
      <c r="E775" s="35">
        <v>42515</v>
      </c>
      <c r="F775" s="144" t="s">
        <v>178</v>
      </c>
      <c r="G775" s="191" t="s">
        <v>105</v>
      </c>
      <c r="H775" s="198" t="s">
        <v>1434</v>
      </c>
      <c r="I775" s="186"/>
      <c r="J775" s="186"/>
      <c r="K775" s="185"/>
      <c r="L775" s="186"/>
      <c r="M775" s="36">
        <v>40000000</v>
      </c>
      <c r="N775" s="37" t="s">
        <v>34</v>
      </c>
      <c r="O775" s="37" t="s">
        <v>812</v>
      </c>
      <c r="P775" s="47" t="str">
        <f>IF(AND('331-CT'!$F$5=TH!H775,OR(N775="331",O775="331")),"x","")</f>
        <v/>
      </c>
      <c r="Q775" s="47" t="str">
        <f>IF(AND(B775='111'!$L$11,OR($N775=$Q$7,$O775=$Q$7)),"x","")</f>
        <v/>
      </c>
      <c r="R775" s="47" t="str">
        <f>IF(AND($N775=$Q$7,$B775&lt;'111'!$L$11),"x","")</f>
        <v>x</v>
      </c>
      <c r="S775" s="47" t="str">
        <f>IF(AND($O775=$Q$7,$B775&lt;'111'!$L$11),"x","")</f>
        <v/>
      </c>
    </row>
    <row r="776" spans="1:19" ht="15.75" customHeight="1">
      <c r="A776" s="152" t="str">
        <f>IF(B776&lt;&gt;"",IF(AND(B776='IN-TC'!$S$4,OR(TH!N776="1111",TH!O776="1111")),TH!D776,""),"")</f>
        <v/>
      </c>
      <c r="B776" s="34">
        <f t="shared" si="26"/>
        <v>5</v>
      </c>
      <c r="C776" s="35">
        <f t="shared" si="27"/>
        <v>42515</v>
      </c>
      <c r="D776" s="212" t="s">
        <v>966</v>
      </c>
      <c r="E776" s="35">
        <v>42515</v>
      </c>
      <c r="F776" s="144" t="s">
        <v>677</v>
      </c>
      <c r="G776" s="191" t="s">
        <v>204</v>
      </c>
      <c r="H776" s="198"/>
      <c r="I776" s="186"/>
      <c r="J776" s="186"/>
      <c r="K776" s="185"/>
      <c r="L776" s="186"/>
      <c r="M776" s="36">
        <v>40000000</v>
      </c>
      <c r="N776" s="37"/>
      <c r="O776" s="37" t="s">
        <v>34</v>
      </c>
      <c r="P776" s="47" t="str">
        <f>IF(AND('331-CT'!$F$5=TH!H776,OR(N776="331",O776="331")),"x","")</f>
        <v/>
      </c>
      <c r="Q776" s="47" t="str">
        <f>IF(AND(B776='111'!$L$11,OR($N776=$Q$7,$O776=$Q$7)),"x","")</f>
        <v/>
      </c>
      <c r="R776" s="47" t="str">
        <f>IF(AND($N776=$Q$7,$B776&lt;'111'!$L$11),"x","")</f>
        <v/>
      </c>
      <c r="S776" s="47" t="str">
        <f>IF(AND($O776=$Q$7,$B776&lt;'111'!$L$11),"x","")</f>
        <v>x</v>
      </c>
    </row>
    <row r="777" spans="1:19" ht="15.75" customHeight="1">
      <c r="A777" s="152" t="str">
        <f>IF(B777&lt;&gt;"",IF(AND(B777='IN-TC'!$S$4,OR(TH!N777="1111",TH!O777="1111")),TH!D777,""),"")</f>
        <v/>
      </c>
      <c r="B777" s="34">
        <f t="shared" si="26"/>
        <v>5</v>
      </c>
      <c r="C777" s="35">
        <f t="shared" si="27"/>
        <v>42515</v>
      </c>
      <c r="D777" s="212"/>
      <c r="E777" s="35">
        <v>42515</v>
      </c>
      <c r="F777" s="144" t="s">
        <v>1467</v>
      </c>
      <c r="G777" s="191"/>
      <c r="H777" s="198" t="s">
        <v>831</v>
      </c>
      <c r="I777" s="186">
        <v>1490</v>
      </c>
      <c r="J777" s="186">
        <v>13000</v>
      </c>
      <c r="K777" s="185"/>
      <c r="L777" s="186"/>
      <c r="M777" s="36">
        <f>ROUND(I777*J777,0)</f>
        <v>19370000</v>
      </c>
      <c r="N777" s="37" t="s">
        <v>1443</v>
      </c>
      <c r="O777" s="37" t="s">
        <v>8</v>
      </c>
      <c r="P777" s="47" t="str">
        <f>IF(AND('331-CT'!$F$5=TH!H777,OR(N777="331",O777="331")),"x","")</f>
        <v/>
      </c>
      <c r="Q777" s="47" t="str">
        <f>IF(AND(B777='111'!$L$11,OR($N777=$Q$7,$O777=$Q$7)),"x","")</f>
        <v/>
      </c>
      <c r="R777" s="47" t="str">
        <f>IF(AND($N777=$Q$7,$B777&lt;'111'!$L$11),"x","")</f>
        <v/>
      </c>
      <c r="S777" s="47" t="str">
        <f>IF(AND($O777=$Q$7,$B777&lt;'111'!$L$11),"x","")</f>
        <v/>
      </c>
    </row>
    <row r="778" spans="1:19" ht="15.75" customHeight="1">
      <c r="A778" s="152" t="str">
        <f>IF(B778&lt;&gt;"",IF(AND(B778='IN-TC'!$S$4,OR(TH!N778="1111",TH!O778="1111")),TH!D778,""),"")</f>
        <v/>
      </c>
      <c r="B778" s="34">
        <f t="shared" si="26"/>
        <v>5</v>
      </c>
      <c r="C778" s="35">
        <f t="shared" si="27"/>
        <v>42517</v>
      </c>
      <c r="D778" s="212"/>
      <c r="E778" s="35">
        <v>42517</v>
      </c>
      <c r="F778" s="144" t="s">
        <v>1467</v>
      </c>
      <c r="G778" s="191"/>
      <c r="H778" s="198" t="s">
        <v>831</v>
      </c>
      <c r="I778" s="186">
        <v>810</v>
      </c>
      <c r="J778" s="186">
        <v>13000</v>
      </c>
      <c r="K778" s="185"/>
      <c r="L778" s="186"/>
      <c r="M778" s="36">
        <f>ROUND(I778*J778,0)</f>
        <v>10530000</v>
      </c>
      <c r="N778" s="37" t="s">
        <v>1443</v>
      </c>
      <c r="O778" s="37" t="s">
        <v>8</v>
      </c>
      <c r="P778" s="47" t="str">
        <f>IF(AND('331-CT'!$F$5=TH!H778,OR(N778="331",O778="331")),"x","")</f>
        <v/>
      </c>
      <c r="Q778" s="47" t="str">
        <f>IF(AND(B778='111'!$L$11,OR($N778=$Q$7,$O778=$Q$7)),"x","")</f>
        <v/>
      </c>
      <c r="R778" s="47" t="str">
        <f>IF(AND($N778=$Q$7,$B778&lt;'111'!$L$11),"x","")</f>
        <v/>
      </c>
      <c r="S778" s="47" t="str">
        <f>IF(AND($O778=$Q$7,$B778&lt;'111'!$L$11),"x","")</f>
        <v/>
      </c>
    </row>
    <row r="779" spans="1:19" ht="15.75" customHeight="1">
      <c r="A779" s="152" t="str">
        <f>IF(B779&lt;&gt;"",IF(AND(B779='IN-TC'!$S$4,OR(TH!N779="1111",TH!O779="1111")),TH!D779,""),"")</f>
        <v/>
      </c>
      <c r="B779" s="34">
        <f t="shared" si="26"/>
        <v>5</v>
      </c>
      <c r="C779" s="35">
        <f t="shared" si="27"/>
        <v>42518</v>
      </c>
      <c r="D779" s="212" t="s">
        <v>1031</v>
      </c>
      <c r="E779" s="35">
        <v>42518</v>
      </c>
      <c r="F779" s="144" t="s">
        <v>177</v>
      </c>
      <c r="G779" s="191" t="s">
        <v>114</v>
      </c>
      <c r="H779" s="198"/>
      <c r="I779" s="186"/>
      <c r="J779" s="186"/>
      <c r="K779" s="185"/>
      <c r="L779" s="186"/>
      <c r="M779" s="36">
        <v>80000000</v>
      </c>
      <c r="N779" s="37" t="s">
        <v>34</v>
      </c>
      <c r="O779" s="37"/>
      <c r="P779" s="47" t="str">
        <f>IF(AND('331-CT'!$F$5=TH!H779,OR(N779="331",O779="331")),"x","")</f>
        <v/>
      </c>
      <c r="Q779" s="47" t="str">
        <f>IF(AND(B779='111'!$L$11,OR($N779=$Q$7,$O779=$Q$7)),"x","")</f>
        <v/>
      </c>
      <c r="R779" s="47" t="str">
        <f>IF(AND($N779=$Q$7,$B779&lt;'111'!$L$11),"x","")</f>
        <v>x</v>
      </c>
      <c r="S779" s="47" t="str">
        <f>IF(AND($O779=$Q$7,$B779&lt;'111'!$L$11),"x","")</f>
        <v/>
      </c>
    </row>
    <row r="780" spans="1:19" ht="15.75" customHeight="1">
      <c r="A780" s="152" t="str">
        <f>IF(B780&lt;&gt;"",IF(AND(B780='IN-TC'!$S$4,OR(TH!N780="1111",TH!O780="1111")),TH!D780,""),"")</f>
        <v/>
      </c>
      <c r="B780" s="34">
        <f t="shared" si="26"/>
        <v>5</v>
      </c>
      <c r="C780" s="35">
        <f t="shared" si="27"/>
        <v>42518</v>
      </c>
      <c r="D780" s="212" t="s">
        <v>967</v>
      </c>
      <c r="E780" s="35">
        <v>42518</v>
      </c>
      <c r="F780" s="144" t="s">
        <v>678</v>
      </c>
      <c r="G780" s="191" t="s">
        <v>207</v>
      </c>
      <c r="H780" s="198"/>
      <c r="I780" s="186"/>
      <c r="J780" s="186"/>
      <c r="K780" s="185"/>
      <c r="L780" s="186"/>
      <c r="M780" s="36">
        <v>4288000</v>
      </c>
      <c r="N780" s="37"/>
      <c r="O780" s="37" t="s">
        <v>34</v>
      </c>
      <c r="P780" s="47" t="str">
        <f>IF(AND('331-CT'!$F$5=TH!H780,OR(N780="331",O780="331")),"x","")</f>
        <v/>
      </c>
      <c r="Q780" s="47" t="str">
        <f>IF(AND(B780='111'!$L$11,OR($N780=$Q$7,$O780=$Q$7)),"x","")</f>
        <v/>
      </c>
      <c r="R780" s="47" t="str">
        <f>IF(AND($N780=$Q$7,$B780&lt;'111'!$L$11),"x","")</f>
        <v/>
      </c>
      <c r="S780" s="47" t="str">
        <f>IF(AND($O780=$Q$7,$B780&lt;'111'!$L$11),"x","")</f>
        <v>x</v>
      </c>
    </row>
    <row r="781" spans="1:19" ht="15.75" customHeight="1">
      <c r="A781" s="152" t="str">
        <f>IF(B781&lt;&gt;"",IF(AND(B781='IN-TC'!$S$4,OR(TH!N781="1111",TH!O781="1111")),TH!D781,""),"")</f>
        <v/>
      </c>
      <c r="B781" s="34">
        <f t="shared" ref="B781:B844" si="28">IF(C781&lt;&gt;"",MONTH(C781),"")</f>
        <v>5</v>
      </c>
      <c r="C781" s="35">
        <f t="shared" ref="C781:C844" si="29">E781</f>
        <v>42518</v>
      </c>
      <c r="D781" s="212" t="s">
        <v>968</v>
      </c>
      <c r="E781" s="35">
        <v>42518</v>
      </c>
      <c r="F781" s="144" t="s">
        <v>1386</v>
      </c>
      <c r="G781" s="191" t="s">
        <v>203</v>
      </c>
      <c r="H781" s="198" t="s">
        <v>1414</v>
      </c>
      <c r="I781" s="186"/>
      <c r="J781" s="186"/>
      <c r="K781" s="185"/>
      <c r="L781" s="186"/>
      <c r="M781" s="36">
        <v>6000000</v>
      </c>
      <c r="N781" s="37" t="s">
        <v>814</v>
      </c>
      <c r="O781" s="37" t="s">
        <v>34</v>
      </c>
      <c r="P781" s="47" t="str">
        <f>IF(AND('331-CT'!$F$5=TH!H781,OR(N781="331",O781="331")),"x","")</f>
        <v/>
      </c>
      <c r="Q781" s="47" t="str">
        <f>IF(AND(B781='111'!$L$11,OR($N781=$Q$7,$O781=$Q$7)),"x","")</f>
        <v/>
      </c>
      <c r="R781" s="47" t="str">
        <f>IF(AND($N781=$Q$7,$B781&lt;'111'!$L$11),"x","")</f>
        <v/>
      </c>
      <c r="S781" s="47" t="str">
        <f>IF(AND($O781=$Q$7,$B781&lt;'111'!$L$11),"x","")</f>
        <v>x</v>
      </c>
    </row>
    <row r="782" spans="1:19" ht="15.75" customHeight="1">
      <c r="A782" s="152" t="str">
        <f>IF(B782&lt;&gt;"",IF(AND(B782='IN-TC'!$S$4,OR(TH!N782="1111",TH!O782="1111")),TH!D782,""),"")</f>
        <v/>
      </c>
      <c r="B782" s="34">
        <f t="shared" si="28"/>
        <v>5</v>
      </c>
      <c r="C782" s="35">
        <f t="shared" si="29"/>
        <v>42518</v>
      </c>
      <c r="D782" s="212" t="s">
        <v>969</v>
      </c>
      <c r="E782" s="35">
        <v>42518</v>
      </c>
      <c r="F782" s="144" t="s">
        <v>679</v>
      </c>
      <c r="G782" s="191" t="s">
        <v>205</v>
      </c>
      <c r="H782" s="198"/>
      <c r="I782" s="186"/>
      <c r="J782" s="186"/>
      <c r="K782" s="185"/>
      <c r="L782" s="186"/>
      <c r="M782" s="36">
        <v>130000</v>
      </c>
      <c r="N782" s="37"/>
      <c r="O782" s="37" t="s">
        <v>34</v>
      </c>
      <c r="P782" s="47" t="str">
        <f>IF(AND('331-CT'!$F$5=TH!H782,OR(N782="331",O782="331")),"x","")</f>
        <v/>
      </c>
      <c r="Q782" s="47" t="str">
        <f>IF(AND(B782='111'!$L$11,OR($N782=$Q$7,$O782=$Q$7)),"x","")</f>
        <v/>
      </c>
      <c r="R782" s="47" t="str">
        <f>IF(AND($N782=$Q$7,$B782&lt;'111'!$L$11),"x","")</f>
        <v/>
      </c>
      <c r="S782" s="47" t="str">
        <f>IF(AND($O782=$Q$7,$B782&lt;'111'!$L$11),"x","")</f>
        <v>x</v>
      </c>
    </row>
    <row r="783" spans="1:19" ht="15.75" customHeight="1">
      <c r="A783" s="152" t="str">
        <f>IF(B783&lt;&gt;"",IF(AND(B783='IN-TC'!$S$4,OR(TH!N783="1111",TH!O783="1111")),TH!D783,""),"")</f>
        <v/>
      </c>
      <c r="B783" s="34">
        <f t="shared" si="28"/>
        <v>5</v>
      </c>
      <c r="C783" s="35">
        <f t="shared" si="29"/>
        <v>42518</v>
      </c>
      <c r="D783" s="212"/>
      <c r="E783" s="35">
        <v>42518</v>
      </c>
      <c r="F783" s="144" t="s">
        <v>1466</v>
      </c>
      <c r="G783" s="191"/>
      <c r="H783" s="198" t="s">
        <v>840</v>
      </c>
      <c r="I783" s="186">
        <v>3942</v>
      </c>
      <c r="J783" s="186">
        <v>15000</v>
      </c>
      <c r="K783" s="185"/>
      <c r="L783" s="186"/>
      <c r="M783" s="36">
        <f>ROUND(I783*J783,0)</f>
        <v>59130000</v>
      </c>
      <c r="N783" s="37" t="s">
        <v>1443</v>
      </c>
      <c r="O783" s="37" t="s">
        <v>8</v>
      </c>
      <c r="P783" s="47" t="str">
        <f>IF(AND('331-CT'!$F$5=TH!H783,OR(N783="331",O783="331")),"x","")</f>
        <v/>
      </c>
      <c r="Q783" s="47" t="str">
        <f>IF(AND(B783='111'!$L$11,OR($N783=$Q$7,$O783=$Q$7)),"x","")</f>
        <v/>
      </c>
      <c r="R783" s="47" t="str">
        <f>IF(AND($N783=$Q$7,$B783&lt;'111'!$L$11),"x","")</f>
        <v/>
      </c>
      <c r="S783" s="47" t="str">
        <f>IF(AND($O783=$Q$7,$B783&lt;'111'!$L$11),"x","")</f>
        <v/>
      </c>
    </row>
    <row r="784" spans="1:19" ht="15.75" customHeight="1">
      <c r="A784" s="152" t="str">
        <f>IF(B784&lt;&gt;"",IF(AND(B784='IN-TC'!$S$4,OR(TH!N784="1111",TH!O784="1111")),TH!D784,""),"")</f>
        <v/>
      </c>
      <c r="B784" s="34">
        <f t="shared" si="28"/>
        <v>5</v>
      </c>
      <c r="C784" s="35">
        <f t="shared" si="29"/>
        <v>42519</v>
      </c>
      <c r="D784" s="212"/>
      <c r="E784" s="35">
        <v>42519</v>
      </c>
      <c r="F784" s="144" t="s">
        <v>1467</v>
      </c>
      <c r="G784" s="191"/>
      <c r="H784" s="198" t="s">
        <v>831</v>
      </c>
      <c r="I784" s="186">
        <v>1640</v>
      </c>
      <c r="J784" s="186">
        <v>13000</v>
      </c>
      <c r="K784" s="185"/>
      <c r="L784" s="186"/>
      <c r="M784" s="36">
        <f>ROUND(I784*J784,0)</f>
        <v>21320000</v>
      </c>
      <c r="N784" s="37" t="s">
        <v>1443</v>
      </c>
      <c r="O784" s="37" t="s">
        <v>8</v>
      </c>
      <c r="P784" s="47" t="str">
        <f>IF(AND('331-CT'!$F$5=TH!H784,OR(N784="331",O784="331")),"x","")</f>
        <v/>
      </c>
      <c r="Q784" s="47" t="str">
        <f>IF(AND(B784='111'!$L$11,OR($N784=$Q$7,$O784=$Q$7)),"x","")</f>
        <v/>
      </c>
      <c r="R784" s="47" t="str">
        <f>IF(AND($N784=$Q$7,$B784&lt;'111'!$L$11),"x","")</f>
        <v/>
      </c>
      <c r="S784" s="47" t="str">
        <f>IF(AND($O784=$Q$7,$B784&lt;'111'!$L$11),"x","")</f>
        <v/>
      </c>
    </row>
    <row r="785" spans="1:19" ht="15.75" customHeight="1">
      <c r="A785" s="152" t="str">
        <f>IF(B785&lt;&gt;"",IF(AND(B785='IN-TC'!$S$4,OR(TH!N785="1111",TH!O785="1111")),TH!D785,""),"")</f>
        <v/>
      </c>
      <c r="B785" s="34">
        <f t="shared" si="28"/>
        <v>5</v>
      </c>
      <c r="C785" s="35">
        <f t="shared" si="29"/>
        <v>42520</v>
      </c>
      <c r="D785" s="212" t="s">
        <v>970</v>
      </c>
      <c r="E785" s="35">
        <v>42520</v>
      </c>
      <c r="F785" s="144" t="s">
        <v>247</v>
      </c>
      <c r="G785" s="191" t="s">
        <v>207</v>
      </c>
      <c r="H785" s="198"/>
      <c r="I785" s="186"/>
      <c r="J785" s="186"/>
      <c r="K785" s="185"/>
      <c r="L785" s="186"/>
      <c r="M785" s="36">
        <v>500000</v>
      </c>
      <c r="N785" s="37"/>
      <c r="O785" s="37" t="s">
        <v>34</v>
      </c>
      <c r="P785" s="47" t="str">
        <f>IF(AND('331-CT'!$F$5=TH!H785,OR(N785="331",O785="331")),"x","")</f>
        <v/>
      </c>
      <c r="Q785" s="47" t="str">
        <f>IF(AND(B785='111'!$L$11,OR($N785=$Q$7,$O785=$Q$7)),"x","")</f>
        <v/>
      </c>
      <c r="R785" s="47" t="str">
        <f>IF(AND($N785=$Q$7,$B785&lt;'111'!$L$11),"x","")</f>
        <v/>
      </c>
      <c r="S785" s="47" t="str">
        <f>IF(AND($O785=$Q$7,$B785&lt;'111'!$L$11),"x","")</f>
        <v>x</v>
      </c>
    </row>
    <row r="786" spans="1:19" ht="15.75" customHeight="1">
      <c r="A786" s="152" t="str">
        <f>IF(B786&lt;&gt;"",IF(AND(B786='IN-TC'!$S$4,OR(TH!N786="1111",TH!O786="1111")),TH!D786,""),"")</f>
        <v/>
      </c>
      <c r="B786" s="34">
        <f t="shared" si="28"/>
        <v>5</v>
      </c>
      <c r="C786" s="35">
        <f t="shared" si="29"/>
        <v>42520</v>
      </c>
      <c r="D786" s="212" t="s">
        <v>971</v>
      </c>
      <c r="E786" s="35">
        <v>42520</v>
      </c>
      <c r="F786" s="144" t="s">
        <v>680</v>
      </c>
      <c r="G786" s="191" t="s">
        <v>202</v>
      </c>
      <c r="H786" s="198"/>
      <c r="I786" s="186"/>
      <c r="J786" s="186"/>
      <c r="K786" s="185"/>
      <c r="L786" s="186"/>
      <c r="M786" s="36">
        <v>30000000</v>
      </c>
      <c r="N786" s="37"/>
      <c r="O786" s="37" t="s">
        <v>34</v>
      </c>
      <c r="P786" s="47" t="str">
        <f>IF(AND('331-CT'!$F$5=TH!H786,OR(N786="331",O786="331")),"x","")</f>
        <v/>
      </c>
      <c r="Q786" s="47" t="str">
        <f>IF(AND(B786='111'!$L$11,OR($N786=$Q$7,$O786=$Q$7)),"x","")</f>
        <v/>
      </c>
      <c r="R786" s="47" t="str">
        <f>IF(AND($N786=$Q$7,$B786&lt;'111'!$L$11),"x","")</f>
        <v/>
      </c>
      <c r="S786" s="47" t="str">
        <f>IF(AND($O786=$Q$7,$B786&lt;'111'!$L$11),"x","")</f>
        <v>x</v>
      </c>
    </row>
    <row r="787" spans="1:19" ht="15.75" customHeight="1">
      <c r="A787" s="152" t="str">
        <f>IF(B787&lt;&gt;"",IF(AND(B787='IN-TC'!$S$4,OR(TH!N787="1111",TH!O787="1111")),TH!D787,""),"")</f>
        <v/>
      </c>
      <c r="B787" s="34">
        <f t="shared" si="28"/>
        <v>5</v>
      </c>
      <c r="C787" s="35">
        <f t="shared" si="29"/>
        <v>42520</v>
      </c>
      <c r="D787" s="212" t="s">
        <v>972</v>
      </c>
      <c r="E787" s="35">
        <v>42520</v>
      </c>
      <c r="F787" s="144" t="s">
        <v>681</v>
      </c>
      <c r="G787" s="191" t="s">
        <v>216</v>
      </c>
      <c r="H787" s="198"/>
      <c r="I787" s="186"/>
      <c r="J787" s="186"/>
      <c r="K787" s="185"/>
      <c r="L787" s="186"/>
      <c r="M787" s="36">
        <v>500000</v>
      </c>
      <c r="N787" s="37"/>
      <c r="O787" s="37" t="s">
        <v>34</v>
      </c>
      <c r="P787" s="47" t="str">
        <f>IF(AND('331-CT'!$F$5=TH!H787,OR(N787="331",O787="331")),"x","")</f>
        <v/>
      </c>
      <c r="Q787" s="47" t="str">
        <f>IF(AND(B787='111'!$L$11,OR($N787=$Q$7,$O787=$Q$7)),"x","")</f>
        <v/>
      </c>
      <c r="R787" s="47" t="str">
        <f>IF(AND($N787=$Q$7,$B787&lt;'111'!$L$11),"x","")</f>
        <v/>
      </c>
      <c r="S787" s="47" t="str">
        <f>IF(AND($O787=$Q$7,$B787&lt;'111'!$L$11),"x","")</f>
        <v>x</v>
      </c>
    </row>
    <row r="788" spans="1:19" ht="15.75" customHeight="1">
      <c r="A788" s="152" t="str">
        <f>IF(B788&lt;&gt;"",IF(AND(B788='IN-TC'!$S$4,OR(TH!N788="1111",TH!O788="1111")),TH!D788,""),"")</f>
        <v/>
      </c>
      <c r="B788" s="34">
        <f t="shared" si="28"/>
        <v>5</v>
      </c>
      <c r="C788" s="35">
        <f t="shared" si="29"/>
        <v>42520</v>
      </c>
      <c r="D788" s="212" t="s">
        <v>973</v>
      </c>
      <c r="E788" s="35">
        <v>42520</v>
      </c>
      <c r="F788" s="144" t="s">
        <v>682</v>
      </c>
      <c r="G788" s="191" t="s">
        <v>206</v>
      </c>
      <c r="H788" s="198" t="s">
        <v>841</v>
      </c>
      <c r="I788" s="186"/>
      <c r="J788" s="186"/>
      <c r="K788" s="185"/>
      <c r="L788" s="186"/>
      <c r="M788" s="36">
        <v>3800000</v>
      </c>
      <c r="N788" s="37"/>
      <c r="O788" s="37" t="s">
        <v>34</v>
      </c>
      <c r="P788" s="47" t="str">
        <f>IF(AND('331-CT'!$F$5=TH!H788,OR(N788="331",O788="331")),"x","")</f>
        <v/>
      </c>
      <c r="Q788" s="47" t="str">
        <f>IF(AND(B788='111'!$L$11,OR($N788=$Q$7,$O788=$Q$7)),"x","")</f>
        <v/>
      </c>
      <c r="R788" s="47" t="str">
        <f>IF(AND($N788=$Q$7,$B788&lt;'111'!$L$11),"x","")</f>
        <v/>
      </c>
      <c r="S788" s="47" t="str">
        <f>IF(AND($O788=$Q$7,$B788&lt;'111'!$L$11),"x","")</f>
        <v>x</v>
      </c>
    </row>
    <row r="789" spans="1:19" ht="15.75" customHeight="1">
      <c r="A789" s="152" t="str">
        <f>IF(B789&lt;&gt;"",IF(AND(B789='IN-TC'!$S$4,OR(TH!N789="1111",TH!O789="1111")),TH!D789,""),"")</f>
        <v/>
      </c>
      <c r="B789" s="34">
        <f t="shared" si="28"/>
        <v>5</v>
      </c>
      <c r="C789" s="35">
        <f t="shared" si="29"/>
        <v>42520</v>
      </c>
      <c r="D789" s="212" t="s">
        <v>974</v>
      </c>
      <c r="E789" s="35">
        <v>42520</v>
      </c>
      <c r="F789" s="144" t="s">
        <v>683</v>
      </c>
      <c r="G789" s="191" t="s">
        <v>202</v>
      </c>
      <c r="H789" s="198"/>
      <c r="I789" s="186"/>
      <c r="J789" s="186"/>
      <c r="K789" s="185"/>
      <c r="L789" s="186"/>
      <c r="M789" s="36">
        <v>40000</v>
      </c>
      <c r="N789" s="37"/>
      <c r="O789" s="37" t="s">
        <v>34</v>
      </c>
      <c r="P789" s="47" t="str">
        <f>IF(AND('331-CT'!$F$5=TH!H789,OR(N789="331",O789="331")),"x","")</f>
        <v/>
      </c>
      <c r="Q789" s="47" t="str">
        <f>IF(AND(B789='111'!$L$11,OR($N789=$Q$7,$O789=$Q$7)),"x","")</f>
        <v/>
      </c>
      <c r="R789" s="47" t="str">
        <f>IF(AND($N789=$Q$7,$B789&lt;'111'!$L$11),"x","")</f>
        <v/>
      </c>
      <c r="S789" s="47" t="str">
        <f>IF(AND($O789=$Q$7,$B789&lt;'111'!$L$11),"x","")</f>
        <v>x</v>
      </c>
    </row>
    <row r="790" spans="1:19" ht="15.75" customHeight="1">
      <c r="A790" s="152" t="str">
        <f>IF(B790&lt;&gt;"",IF(AND(B790='IN-TC'!$S$4,OR(TH!N790="1111",TH!O790="1111")),TH!D790,""),"")</f>
        <v/>
      </c>
      <c r="B790" s="34">
        <f t="shared" si="28"/>
        <v>5</v>
      </c>
      <c r="C790" s="35">
        <f t="shared" si="29"/>
        <v>42521</v>
      </c>
      <c r="D790" s="212" t="s">
        <v>1032</v>
      </c>
      <c r="E790" s="35">
        <v>42521</v>
      </c>
      <c r="F790" s="144" t="s">
        <v>179</v>
      </c>
      <c r="G790" s="191" t="s">
        <v>105</v>
      </c>
      <c r="H790" s="198" t="s">
        <v>1415</v>
      </c>
      <c r="I790" s="186"/>
      <c r="J790" s="186"/>
      <c r="K790" s="185"/>
      <c r="L790" s="186"/>
      <c r="M790" s="36">
        <v>40000000</v>
      </c>
      <c r="N790" s="37" t="s">
        <v>34</v>
      </c>
      <c r="O790" s="37" t="s">
        <v>812</v>
      </c>
      <c r="P790" s="47" t="str">
        <f>IF(AND('331-CT'!$F$5=TH!H790,OR(N790="331",O790="331")),"x","")</f>
        <v/>
      </c>
      <c r="Q790" s="47" t="str">
        <f>IF(AND(B790='111'!$L$11,OR($N790=$Q$7,$O790=$Q$7)),"x","")</f>
        <v/>
      </c>
      <c r="R790" s="47" t="str">
        <f>IF(AND($N790=$Q$7,$B790&lt;'111'!$L$11),"x","")</f>
        <v>x</v>
      </c>
      <c r="S790" s="47" t="str">
        <f>IF(AND($O790=$Q$7,$B790&lt;'111'!$L$11),"x","")</f>
        <v/>
      </c>
    </row>
    <row r="791" spans="1:19" ht="15.75" customHeight="1">
      <c r="A791" s="152" t="str">
        <f>IF(B791&lt;&gt;"",IF(AND(B791='IN-TC'!$S$4,OR(TH!N791="1111",TH!O791="1111")),TH!D791,""),"")</f>
        <v/>
      </c>
      <c r="B791" s="34">
        <f t="shared" si="28"/>
        <v>5</v>
      </c>
      <c r="C791" s="35">
        <f t="shared" si="29"/>
        <v>42521</v>
      </c>
      <c r="D791" s="212" t="s">
        <v>1064</v>
      </c>
      <c r="E791" s="35">
        <v>42521</v>
      </c>
      <c r="F791" s="144" t="s">
        <v>180</v>
      </c>
      <c r="G791" s="191" t="s">
        <v>105</v>
      </c>
      <c r="H791" s="198" t="s">
        <v>1073</v>
      </c>
      <c r="I791" s="186"/>
      <c r="J791" s="186"/>
      <c r="K791" s="185"/>
      <c r="L791" s="186"/>
      <c r="M791" s="36">
        <v>24000000</v>
      </c>
      <c r="N791" s="37" t="s">
        <v>34</v>
      </c>
      <c r="O791" s="37" t="s">
        <v>812</v>
      </c>
      <c r="P791" s="47" t="str">
        <f>IF(AND('331-CT'!$F$5=TH!H791,OR(N791="331",O791="331")),"x","")</f>
        <v/>
      </c>
      <c r="Q791" s="47" t="str">
        <f>IF(AND(B791='111'!$L$11,OR($N791=$Q$7,$O791=$Q$7)),"x","")</f>
        <v/>
      </c>
      <c r="R791" s="47" t="str">
        <f>IF(AND($N791=$Q$7,$B791&lt;'111'!$L$11),"x","")</f>
        <v>x</v>
      </c>
      <c r="S791" s="47" t="str">
        <f>IF(AND($O791=$Q$7,$B791&lt;'111'!$L$11),"x","")</f>
        <v/>
      </c>
    </row>
    <row r="792" spans="1:19" ht="15.75" customHeight="1">
      <c r="A792" s="152" t="str">
        <f>IF(B792&lt;&gt;"",IF(AND(B792='IN-TC'!$S$4,OR(TH!N792="1111",TH!O792="1111")),TH!D792,""),"")</f>
        <v/>
      </c>
      <c r="B792" s="34">
        <f t="shared" si="28"/>
        <v>5</v>
      </c>
      <c r="C792" s="35">
        <f t="shared" si="29"/>
        <v>42521</v>
      </c>
      <c r="D792" s="212" t="s">
        <v>1135</v>
      </c>
      <c r="E792" s="35">
        <v>42521</v>
      </c>
      <c r="F792" s="144" t="s">
        <v>181</v>
      </c>
      <c r="G792" s="191" t="s">
        <v>105</v>
      </c>
      <c r="H792" s="198"/>
      <c r="I792" s="186"/>
      <c r="J792" s="186"/>
      <c r="K792" s="185"/>
      <c r="L792" s="186"/>
      <c r="M792" s="36">
        <v>8000000</v>
      </c>
      <c r="N792" s="37" t="s">
        <v>34</v>
      </c>
      <c r="O792" s="37" t="s">
        <v>812</v>
      </c>
      <c r="P792" s="47" t="str">
        <f>IF(AND('331-CT'!$F$5=TH!H792,OR(N792="331",O792="331")),"x","")</f>
        <v/>
      </c>
      <c r="Q792" s="47" t="str">
        <f>IF(AND(B792='111'!$L$11,OR($N792=$Q$7,$O792=$Q$7)),"x","")</f>
        <v/>
      </c>
      <c r="R792" s="47" t="str">
        <f>IF(AND($N792=$Q$7,$B792&lt;'111'!$L$11),"x","")</f>
        <v>x</v>
      </c>
      <c r="S792" s="47" t="str">
        <f>IF(AND($O792=$Q$7,$B792&lt;'111'!$L$11),"x","")</f>
        <v/>
      </c>
    </row>
    <row r="793" spans="1:19" ht="15.75" customHeight="1">
      <c r="A793" s="152" t="str">
        <f>IF(B793&lt;&gt;"",IF(AND(B793='IN-TC'!$S$4,OR(TH!N793="1111",TH!O793="1111")),TH!D793,""),"")</f>
        <v/>
      </c>
      <c r="B793" s="34">
        <f t="shared" si="28"/>
        <v>5</v>
      </c>
      <c r="C793" s="35">
        <f t="shared" si="29"/>
        <v>42521</v>
      </c>
      <c r="D793" s="212" t="s">
        <v>975</v>
      </c>
      <c r="E793" s="35">
        <v>42521</v>
      </c>
      <c r="F793" s="144" t="s">
        <v>677</v>
      </c>
      <c r="G793" s="191" t="s">
        <v>204</v>
      </c>
      <c r="H793" s="198"/>
      <c r="I793" s="186"/>
      <c r="J793" s="186"/>
      <c r="K793" s="185"/>
      <c r="L793" s="186"/>
      <c r="M793" s="36">
        <v>62000000</v>
      </c>
      <c r="N793" s="37"/>
      <c r="O793" s="37" t="s">
        <v>34</v>
      </c>
      <c r="P793" s="47" t="str">
        <f>IF(AND('331-CT'!$F$5=TH!H793,OR(N793="331",O793="331")),"x","")</f>
        <v/>
      </c>
      <c r="Q793" s="47" t="str">
        <f>IF(AND(B793='111'!$L$11,OR($N793=$Q$7,$O793=$Q$7)),"x","")</f>
        <v/>
      </c>
      <c r="R793" s="47" t="str">
        <f>IF(AND($N793=$Q$7,$B793&lt;'111'!$L$11),"x","")</f>
        <v/>
      </c>
      <c r="S793" s="47" t="str">
        <f>IF(AND($O793=$Q$7,$B793&lt;'111'!$L$11),"x","")</f>
        <v>x</v>
      </c>
    </row>
    <row r="794" spans="1:19" ht="15.75" customHeight="1">
      <c r="A794" s="152" t="str">
        <f>IF(B794&lt;&gt;"",IF(AND(B794='IN-TC'!$S$4,OR(TH!N794="1111",TH!O794="1111")),TH!D794,""),"")</f>
        <v/>
      </c>
      <c r="B794" s="34">
        <f t="shared" si="28"/>
        <v>5</v>
      </c>
      <c r="C794" s="35">
        <f t="shared" si="29"/>
        <v>42521</v>
      </c>
      <c r="D794" s="212" t="s">
        <v>976</v>
      </c>
      <c r="E794" s="35">
        <v>42521</v>
      </c>
      <c r="F794" s="144" t="s">
        <v>684</v>
      </c>
      <c r="G794" s="191" t="s">
        <v>228</v>
      </c>
      <c r="H794" s="198"/>
      <c r="I794" s="186"/>
      <c r="J794" s="186"/>
      <c r="K794" s="185"/>
      <c r="L794" s="186"/>
      <c r="M794" s="36">
        <v>2100000</v>
      </c>
      <c r="N794" s="37"/>
      <c r="O794" s="37" t="s">
        <v>34</v>
      </c>
      <c r="P794" s="47" t="str">
        <f>IF(AND('331-CT'!$F$5=TH!H794,OR(N794="331",O794="331")),"x","")</f>
        <v/>
      </c>
      <c r="Q794" s="47" t="str">
        <f>IF(AND(B794='111'!$L$11,OR($N794=$Q$7,$O794=$Q$7)),"x","")</f>
        <v/>
      </c>
      <c r="R794" s="47" t="str">
        <f>IF(AND($N794=$Q$7,$B794&lt;'111'!$L$11),"x","")</f>
        <v/>
      </c>
      <c r="S794" s="47" t="str">
        <f>IF(AND($O794=$Q$7,$B794&lt;'111'!$L$11),"x","")</f>
        <v>x</v>
      </c>
    </row>
    <row r="795" spans="1:19" ht="15.75" customHeight="1">
      <c r="A795" s="152" t="str">
        <f>IF(B795&lt;&gt;"",IF(AND(B795='IN-TC'!$S$4,OR(TH!N795="1111",TH!O795="1111")),TH!D795,""),"")</f>
        <v/>
      </c>
      <c r="B795" s="34">
        <f t="shared" si="28"/>
        <v>5</v>
      </c>
      <c r="C795" s="35">
        <f t="shared" si="29"/>
        <v>42521</v>
      </c>
      <c r="D795" s="212" t="s">
        <v>977</v>
      </c>
      <c r="E795" s="35">
        <v>42521</v>
      </c>
      <c r="F795" s="144" t="s">
        <v>677</v>
      </c>
      <c r="G795" s="191" t="s">
        <v>204</v>
      </c>
      <c r="H795" s="198"/>
      <c r="I795" s="186"/>
      <c r="J795" s="186"/>
      <c r="K795" s="185"/>
      <c r="L795" s="186"/>
      <c r="M795" s="36">
        <v>24000000</v>
      </c>
      <c r="N795" s="37"/>
      <c r="O795" s="37" t="s">
        <v>34</v>
      </c>
      <c r="P795" s="47" t="str">
        <f>IF(AND('331-CT'!$F$5=TH!H795,OR(N795="331",O795="331")),"x","")</f>
        <v/>
      </c>
      <c r="Q795" s="47" t="str">
        <f>IF(AND(B795='111'!$L$11,OR($N795=$Q$7,$O795=$Q$7)),"x","")</f>
        <v/>
      </c>
      <c r="R795" s="47" t="str">
        <f>IF(AND($N795=$Q$7,$B795&lt;'111'!$L$11),"x","")</f>
        <v/>
      </c>
      <c r="S795" s="47" t="str">
        <f>IF(AND($O795=$Q$7,$B795&lt;'111'!$L$11),"x","")</f>
        <v>x</v>
      </c>
    </row>
    <row r="796" spans="1:19" ht="15.75" customHeight="1">
      <c r="A796" s="152" t="str">
        <f>IF(B796&lt;&gt;"",IF(AND(B796='IN-TC'!$S$4,OR(TH!N796="1111",TH!O796="1111")),TH!D796,""),"")</f>
        <v/>
      </c>
      <c r="B796" s="34">
        <f t="shared" si="28"/>
        <v>5</v>
      </c>
      <c r="C796" s="35">
        <f t="shared" si="29"/>
        <v>42521</v>
      </c>
      <c r="D796" s="212" t="s">
        <v>978</v>
      </c>
      <c r="E796" s="35">
        <v>42521</v>
      </c>
      <c r="F796" s="144" t="s">
        <v>685</v>
      </c>
      <c r="G796" s="191" t="s">
        <v>203</v>
      </c>
      <c r="H796" s="198" t="s">
        <v>1416</v>
      </c>
      <c r="I796" s="186"/>
      <c r="J796" s="186"/>
      <c r="K796" s="185"/>
      <c r="L796" s="186"/>
      <c r="M796" s="36">
        <v>10011000</v>
      </c>
      <c r="N796" s="37" t="s">
        <v>814</v>
      </c>
      <c r="O796" s="37" t="s">
        <v>34</v>
      </c>
      <c r="P796" s="47" t="str">
        <f>IF(AND('331-CT'!$F$5=TH!H796,OR(N796="331",O796="331")),"x","")</f>
        <v/>
      </c>
      <c r="Q796" s="47" t="str">
        <f>IF(AND(B796='111'!$L$11,OR($N796=$Q$7,$O796=$Q$7)),"x","")</f>
        <v/>
      </c>
      <c r="R796" s="47" t="str">
        <f>IF(AND($N796=$Q$7,$B796&lt;'111'!$L$11),"x","")</f>
        <v/>
      </c>
      <c r="S796" s="47" t="str">
        <f>IF(AND($O796=$Q$7,$B796&lt;'111'!$L$11),"x","")</f>
        <v>x</v>
      </c>
    </row>
    <row r="797" spans="1:19" ht="15.75" customHeight="1">
      <c r="A797" s="152" t="str">
        <f>IF(B797&lt;&gt;"",IF(AND(B797='IN-TC'!$S$4,OR(TH!N797="1111",TH!O797="1111")),TH!D797,""),"")</f>
        <v/>
      </c>
      <c r="B797" s="34">
        <f t="shared" si="28"/>
        <v>5</v>
      </c>
      <c r="C797" s="35">
        <f t="shared" si="29"/>
        <v>42521</v>
      </c>
      <c r="D797" s="212"/>
      <c r="E797" s="35">
        <v>42521</v>
      </c>
      <c r="F797" s="144" t="s">
        <v>1467</v>
      </c>
      <c r="G797" s="191"/>
      <c r="H797" s="198" t="s">
        <v>831</v>
      </c>
      <c r="I797" s="186">
        <v>960</v>
      </c>
      <c r="J797" s="186">
        <v>13000</v>
      </c>
      <c r="K797" s="185"/>
      <c r="L797" s="186"/>
      <c r="M797" s="36">
        <f>ROUND(I797*J797,0)</f>
        <v>12480000</v>
      </c>
      <c r="N797" s="37" t="s">
        <v>1443</v>
      </c>
      <c r="O797" s="37" t="s">
        <v>8</v>
      </c>
      <c r="P797" s="47" t="str">
        <f>IF(AND('331-CT'!$F$5=TH!H797,OR(N797="331",O797="331")),"x","")</f>
        <v/>
      </c>
      <c r="Q797" s="47" t="str">
        <f>IF(AND(B797='111'!$L$11,OR($N797=$Q$7,$O797=$Q$7)),"x","")</f>
        <v/>
      </c>
      <c r="R797" s="47" t="str">
        <f>IF(AND($N797=$Q$7,$B797&lt;'111'!$L$11),"x","")</f>
        <v/>
      </c>
      <c r="S797" s="47" t="str">
        <f>IF(AND($O797=$Q$7,$B797&lt;'111'!$L$11),"x","")</f>
        <v/>
      </c>
    </row>
    <row r="798" spans="1:19" ht="15.75" customHeight="1">
      <c r="A798" s="152" t="str">
        <f>IF(B798&lt;&gt;"",IF(AND(B798='IN-TC'!$S$4,OR(TH!N798="1111",TH!O798="1111")),TH!D798,""),"")</f>
        <v/>
      </c>
      <c r="B798" s="34">
        <f t="shared" si="28"/>
        <v>6</v>
      </c>
      <c r="C798" s="35">
        <f t="shared" si="29"/>
        <v>42522</v>
      </c>
      <c r="D798" s="212" t="s">
        <v>934</v>
      </c>
      <c r="E798" s="35">
        <v>42522</v>
      </c>
      <c r="F798" s="144" t="s">
        <v>182</v>
      </c>
      <c r="G798" s="191" t="s">
        <v>105</v>
      </c>
      <c r="H798" s="198" t="s">
        <v>1042</v>
      </c>
      <c r="I798" s="186"/>
      <c r="J798" s="186"/>
      <c r="K798" s="185"/>
      <c r="L798" s="186"/>
      <c r="M798" s="36">
        <v>200000000</v>
      </c>
      <c r="N798" s="37" t="s">
        <v>34</v>
      </c>
      <c r="O798" s="37" t="s">
        <v>812</v>
      </c>
      <c r="P798" s="47" t="str">
        <f>IF(AND('331-CT'!$F$5=TH!H798,OR(N798="331",O798="331")),"x","")</f>
        <v/>
      </c>
      <c r="Q798" s="47" t="str">
        <f>IF(AND(B798='111'!$L$11,OR($N798=$Q$7,$O798=$Q$7)),"x","")</f>
        <v/>
      </c>
      <c r="R798" s="47" t="str">
        <f>IF(AND($N798=$Q$7,$B798&lt;'111'!$L$11),"x","")</f>
        <v>x</v>
      </c>
      <c r="S798" s="47" t="str">
        <f>IF(AND($O798=$Q$7,$B798&lt;'111'!$L$11),"x","")</f>
        <v/>
      </c>
    </row>
    <row r="799" spans="1:19" ht="15.75" customHeight="1">
      <c r="A799" s="152" t="str">
        <f>IF(B799&lt;&gt;"",IF(AND(B799='IN-TC'!$S$4,OR(TH!N799="1111",TH!O799="1111")),TH!D799,""),"")</f>
        <v/>
      </c>
      <c r="B799" s="34">
        <f t="shared" si="28"/>
        <v>6</v>
      </c>
      <c r="C799" s="35">
        <f t="shared" si="29"/>
        <v>42522</v>
      </c>
      <c r="D799" s="212" t="s">
        <v>860</v>
      </c>
      <c r="E799" s="35">
        <v>42522</v>
      </c>
      <c r="F799" s="144" t="s">
        <v>654</v>
      </c>
      <c r="G799" s="191" t="s">
        <v>205</v>
      </c>
      <c r="H799" s="198"/>
      <c r="I799" s="186"/>
      <c r="J799" s="186"/>
      <c r="K799" s="185"/>
      <c r="L799" s="186"/>
      <c r="M799" s="36">
        <v>337000</v>
      </c>
      <c r="N799" s="37"/>
      <c r="O799" s="37" t="s">
        <v>34</v>
      </c>
      <c r="P799" s="47" t="str">
        <f>IF(AND('331-CT'!$F$5=TH!H799,OR(N799="331",O799="331")),"x","")</f>
        <v/>
      </c>
      <c r="Q799" s="47" t="str">
        <f>IF(AND(B799='111'!$L$11,OR($N799=$Q$7,$O799=$Q$7)),"x","")</f>
        <v/>
      </c>
      <c r="R799" s="47" t="str">
        <f>IF(AND($N799=$Q$7,$B799&lt;'111'!$L$11),"x","")</f>
        <v/>
      </c>
      <c r="S799" s="47" t="str">
        <f>IF(AND($O799=$Q$7,$B799&lt;'111'!$L$11),"x","")</f>
        <v>x</v>
      </c>
    </row>
    <row r="800" spans="1:19" ht="15.75" customHeight="1">
      <c r="A800" s="152" t="str">
        <f>IF(B800&lt;&gt;"",IF(AND(B800='IN-TC'!$S$4,OR(TH!N800="1111",TH!O800="1111")),TH!D800,""),"")</f>
        <v/>
      </c>
      <c r="B800" s="34">
        <f t="shared" si="28"/>
        <v>6</v>
      </c>
      <c r="C800" s="35">
        <f t="shared" si="29"/>
        <v>42522</v>
      </c>
      <c r="D800" s="212" t="s">
        <v>861</v>
      </c>
      <c r="E800" s="35">
        <v>42522</v>
      </c>
      <c r="F800" s="144" t="s">
        <v>686</v>
      </c>
      <c r="G800" s="191" t="s">
        <v>202</v>
      </c>
      <c r="H800" s="198"/>
      <c r="I800" s="186"/>
      <c r="J800" s="186"/>
      <c r="K800" s="185"/>
      <c r="L800" s="186"/>
      <c r="M800" s="36">
        <v>570000</v>
      </c>
      <c r="N800" s="37"/>
      <c r="O800" s="37" t="s">
        <v>34</v>
      </c>
      <c r="P800" s="47" t="str">
        <f>IF(AND('331-CT'!$F$5=TH!H800,OR(N800="331",O800="331")),"x","")</f>
        <v/>
      </c>
      <c r="Q800" s="47" t="str">
        <f>IF(AND(B800='111'!$L$11,OR($N800=$Q$7,$O800=$Q$7)),"x","")</f>
        <v/>
      </c>
      <c r="R800" s="47" t="str">
        <f>IF(AND($N800=$Q$7,$B800&lt;'111'!$L$11),"x","")</f>
        <v/>
      </c>
      <c r="S800" s="47" t="str">
        <f>IF(AND($O800=$Q$7,$B800&lt;'111'!$L$11),"x","")</f>
        <v>x</v>
      </c>
    </row>
    <row r="801" spans="1:19" ht="15.75" customHeight="1">
      <c r="A801" s="152" t="str">
        <f>IF(B801&lt;&gt;"",IF(AND(B801='IN-TC'!$S$4,OR(TH!N801="1111",TH!O801="1111")),TH!D801,""),"")</f>
        <v/>
      </c>
      <c r="B801" s="34">
        <f t="shared" si="28"/>
        <v>6</v>
      </c>
      <c r="C801" s="35">
        <f t="shared" si="29"/>
        <v>42522</v>
      </c>
      <c r="D801" s="212" t="s">
        <v>862</v>
      </c>
      <c r="E801" s="35">
        <v>42522</v>
      </c>
      <c r="F801" s="144" t="s">
        <v>687</v>
      </c>
      <c r="G801" s="191" t="s">
        <v>204</v>
      </c>
      <c r="H801" s="198"/>
      <c r="I801" s="186"/>
      <c r="J801" s="186"/>
      <c r="K801" s="185"/>
      <c r="L801" s="186"/>
      <c r="M801" s="36">
        <v>140000000</v>
      </c>
      <c r="N801" s="37"/>
      <c r="O801" s="37" t="s">
        <v>34</v>
      </c>
      <c r="P801" s="47" t="str">
        <f>IF(AND('331-CT'!$F$5=TH!H801,OR(N801="331",O801="331")),"x","")</f>
        <v/>
      </c>
      <c r="Q801" s="47" t="str">
        <f>IF(AND(B801='111'!$L$11,OR($N801=$Q$7,$O801=$Q$7)),"x","")</f>
        <v/>
      </c>
      <c r="R801" s="47" t="str">
        <f>IF(AND($N801=$Q$7,$B801&lt;'111'!$L$11),"x","")</f>
        <v/>
      </c>
      <c r="S801" s="47" t="str">
        <f>IF(AND($O801=$Q$7,$B801&lt;'111'!$L$11),"x","")</f>
        <v>x</v>
      </c>
    </row>
    <row r="802" spans="1:19" ht="15.75" customHeight="1">
      <c r="A802" s="152" t="str">
        <f>IF(B802&lt;&gt;"",IF(AND(B802='IN-TC'!$S$4,OR(TH!N802="1111",TH!O802="1111")),TH!D802,""),"")</f>
        <v/>
      </c>
      <c r="B802" s="34">
        <f t="shared" si="28"/>
        <v>6</v>
      </c>
      <c r="C802" s="35">
        <f t="shared" si="29"/>
        <v>42523</v>
      </c>
      <c r="D802" s="212" t="s">
        <v>935</v>
      </c>
      <c r="E802" s="35">
        <v>42523</v>
      </c>
      <c r="F802" s="144" t="s">
        <v>183</v>
      </c>
      <c r="G802" s="191" t="s">
        <v>110</v>
      </c>
      <c r="H802" s="198"/>
      <c r="I802" s="186"/>
      <c r="J802" s="186"/>
      <c r="K802" s="185"/>
      <c r="L802" s="186"/>
      <c r="M802" s="36">
        <v>5000000</v>
      </c>
      <c r="N802" s="37" t="s">
        <v>34</v>
      </c>
      <c r="O802" s="37"/>
      <c r="P802" s="47" t="str">
        <f>IF(AND('331-CT'!$F$5=TH!H802,OR(N802="331",O802="331")),"x","")</f>
        <v/>
      </c>
      <c r="Q802" s="47" t="str">
        <f>IF(AND(B802='111'!$L$11,OR($N802=$Q$7,$O802=$Q$7)),"x","")</f>
        <v/>
      </c>
      <c r="R802" s="47" t="str">
        <f>IF(AND($N802=$Q$7,$B802&lt;'111'!$L$11),"x","")</f>
        <v>x</v>
      </c>
      <c r="S802" s="47" t="str">
        <f>IF(AND($O802=$Q$7,$B802&lt;'111'!$L$11),"x","")</f>
        <v/>
      </c>
    </row>
    <row r="803" spans="1:19" ht="15.75" customHeight="1">
      <c r="A803" s="152" t="str">
        <f>IF(B803&lt;&gt;"",IF(AND(B803='IN-TC'!$S$4,OR(TH!N803="1111",TH!O803="1111")),TH!D803,""),"")</f>
        <v/>
      </c>
      <c r="B803" s="34">
        <f t="shared" si="28"/>
        <v>6</v>
      </c>
      <c r="C803" s="35">
        <f t="shared" si="29"/>
        <v>42523</v>
      </c>
      <c r="D803" s="212" t="s">
        <v>936</v>
      </c>
      <c r="E803" s="35">
        <v>42523</v>
      </c>
      <c r="F803" s="144" t="s">
        <v>184</v>
      </c>
      <c r="G803" s="191" t="s">
        <v>115</v>
      </c>
      <c r="H803" s="198"/>
      <c r="I803" s="186"/>
      <c r="J803" s="186"/>
      <c r="K803" s="185"/>
      <c r="L803" s="186"/>
      <c r="M803" s="36">
        <v>8000000</v>
      </c>
      <c r="N803" s="37" t="s">
        <v>34</v>
      </c>
      <c r="O803" s="37"/>
      <c r="P803" s="47" t="str">
        <f>IF(AND('331-CT'!$F$5=TH!H803,OR(N803="331",O803="331")),"x","")</f>
        <v/>
      </c>
      <c r="Q803" s="47" t="str">
        <f>IF(AND(B803='111'!$L$11,OR($N803=$Q$7,$O803=$Q$7)),"x","")</f>
        <v/>
      </c>
      <c r="R803" s="47" t="str">
        <f>IF(AND($N803=$Q$7,$B803&lt;'111'!$L$11),"x","")</f>
        <v>x</v>
      </c>
      <c r="S803" s="47" t="str">
        <f>IF(AND($O803=$Q$7,$B803&lt;'111'!$L$11),"x","")</f>
        <v/>
      </c>
    </row>
    <row r="804" spans="1:19" ht="15.75" customHeight="1">
      <c r="A804" s="152" t="str">
        <f>IF(B804&lt;&gt;"",IF(AND(B804='IN-TC'!$S$4,OR(TH!N804="1111",TH!O804="1111")),TH!D804,""),"")</f>
        <v/>
      </c>
      <c r="B804" s="34">
        <f t="shared" si="28"/>
        <v>6</v>
      </c>
      <c r="C804" s="35">
        <f t="shared" si="29"/>
        <v>42523</v>
      </c>
      <c r="D804" s="212" t="s">
        <v>863</v>
      </c>
      <c r="E804" s="35">
        <v>42523</v>
      </c>
      <c r="F804" s="144" t="s">
        <v>262</v>
      </c>
      <c r="G804" s="191" t="s">
        <v>114</v>
      </c>
      <c r="H804" s="198"/>
      <c r="I804" s="186"/>
      <c r="J804" s="186"/>
      <c r="K804" s="185"/>
      <c r="L804" s="186"/>
      <c r="M804" s="36">
        <v>35000000</v>
      </c>
      <c r="N804" s="37"/>
      <c r="O804" s="37" t="s">
        <v>34</v>
      </c>
      <c r="P804" s="47" t="str">
        <f>IF(AND('331-CT'!$F$5=TH!H804,OR(N804="331",O804="331")),"x","")</f>
        <v/>
      </c>
      <c r="Q804" s="47" t="str">
        <f>IF(AND(B804='111'!$L$11,OR($N804=$Q$7,$O804=$Q$7)),"x","")</f>
        <v/>
      </c>
      <c r="R804" s="47" t="str">
        <f>IF(AND($N804=$Q$7,$B804&lt;'111'!$L$11),"x","")</f>
        <v/>
      </c>
      <c r="S804" s="47" t="str">
        <f>IF(AND($O804=$Q$7,$B804&lt;'111'!$L$11),"x","")</f>
        <v>x</v>
      </c>
    </row>
    <row r="805" spans="1:19" ht="15.75" customHeight="1">
      <c r="A805" s="152" t="str">
        <f>IF(B805&lt;&gt;"",IF(AND(B805='IN-TC'!$S$4,OR(TH!N805="1111",TH!O805="1111")),TH!D805,""),"")</f>
        <v/>
      </c>
      <c r="B805" s="34">
        <f t="shared" si="28"/>
        <v>6</v>
      </c>
      <c r="C805" s="35">
        <f t="shared" si="29"/>
        <v>42523</v>
      </c>
      <c r="D805" s="212" t="s">
        <v>864</v>
      </c>
      <c r="E805" s="35">
        <v>42523</v>
      </c>
      <c r="F805" s="144" t="s">
        <v>180</v>
      </c>
      <c r="G805" s="191" t="s">
        <v>105</v>
      </c>
      <c r="H805" s="198" t="s">
        <v>1073</v>
      </c>
      <c r="I805" s="186"/>
      <c r="J805" s="186"/>
      <c r="K805" s="185"/>
      <c r="L805" s="186"/>
      <c r="M805" s="36">
        <v>24000000</v>
      </c>
      <c r="N805" s="37" t="s">
        <v>812</v>
      </c>
      <c r="O805" s="37" t="s">
        <v>34</v>
      </c>
      <c r="P805" s="47" t="str">
        <f>IF(AND('331-CT'!$F$5=TH!H805,OR(N805="331",O805="331")),"x","")</f>
        <v/>
      </c>
      <c r="Q805" s="47" t="str">
        <f>IF(AND(B805='111'!$L$11,OR($N805=$Q$7,$O805=$Q$7)),"x","")</f>
        <v/>
      </c>
      <c r="R805" s="47" t="str">
        <f>IF(AND($N805=$Q$7,$B805&lt;'111'!$L$11),"x","")</f>
        <v/>
      </c>
      <c r="S805" s="47" t="str">
        <f>IF(AND($O805=$Q$7,$B805&lt;'111'!$L$11),"x","")</f>
        <v>x</v>
      </c>
    </row>
    <row r="806" spans="1:19" ht="15.75" customHeight="1">
      <c r="A806" s="152" t="str">
        <f>IF(B806&lt;&gt;"",IF(AND(B806='IN-TC'!$S$4,OR(TH!N806="1111",TH!O806="1111")),TH!D806,""),"")</f>
        <v/>
      </c>
      <c r="B806" s="34">
        <f t="shared" si="28"/>
        <v>6</v>
      </c>
      <c r="C806" s="35">
        <f t="shared" si="29"/>
        <v>42523</v>
      </c>
      <c r="D806" s="212" t="s">
        <v>865</v>
      </c>
      <c r="E806" s="35">
        <v>42523</v>
      </c>
      <c r="F806" s="144" t="s">
        <v>688</v>
      </c>
      <c r="G806" s="191" t="s">
        <v>202</v>
      </c>
      <c r="H806" s="198"/>
      <c r="I806" s="186"/>
      <c r="J806" s="186"/>
      <c r="K806" s="185"/>
      <c r="L806" s="186"/>
      <c r="M806" s="36">
        <v>500000</v>
      </c>
      <c r="N806" s="37"/>
      <c r="O806" s="37" t="s">
        <v>34</v>
      </c>
      <c r="P806" s="47" t="str">
        <f>IF(AND('331-CT'!$F$5=TH!H806,OR(N806="331",O806="331")),"x","")</f>
        <v/>
      </c>
      <c r="Q806" s="47" t="str">
        <f>IF(AND(B806='111'!$L$11,OR($N806=$Q$7,$O806=$Q$7)),"x","")</f>
        <v/>
      </c>
      <c r="R806" s="47" t="str">
        <f>IF(AND($N806=$Q$7,$B806&lt;'111'!$L$11),"x","")</f>
        <v/>
      </c>
      <c r="S806" s="47" t="str">
        <f>IF(AND($O806=$Q$7,$B806&lt;'111'!$L$11),"x","")</f>
        <v>x</v>
      </c>
    </row>
    <row r="807" spans="1:19" ht="15.75" customHeight="1">
      <c r="A807" s="152" t="str">
        <f>IF(B807&lt;&gt;"",IF(AND(B807='IN-TC'!$S$4,OR(TH!N807="1111",TH!O807="1111")),TH!D807,""),"")</f>
        <v/>
      </c>
      <c r="B807" s="34">
        <f t="shared" si="28"/>
        <v>6</v>
      </c>
      <c r="C807" s="35">
        <f t="shared" si="29"/>
        <v>42523</v>
      </c>
      <c r="D807" s="212" t="s">
        <v>866</v>
      </c>
      <c r="E807" s="35">
        <v>42523</v>
      </c>
      <c r="F807" s="144" t="s">
        <v>520</v>
      </c>
      <c r="G807" s="191" t="s">
        <v>216</v>
      </c>
      <c r="H807" s="198"/>
      <c r="I807" s="186"/>
      <c r="J807" s="186"/>
      <c r="K807" s="185"/>
      <c r="L807" s="186"/>
      <c r="M807" s="36">
        <v>6620000</v>
      </c>
      <c r="N807" s="37"/>
      <c r="O807" s="37" t="s">
        <v>34</v>
      </c>
      <c r="P807" s="47" t="str">
        <f>IF(AND('331-CT'!$F$5=TH!H807,OR(N807="331",O807="331")),"x","")</f>
        <v/>
      </c>
      <c r="Q807" s="47" t="str">
        <f>IF(AND(B807='111'!$L$11,OR($N807=$Q$7,$O807=$Q$7)),"x","")</f>
        <v/>
      </c>
      <c r="R807" s="47" t="str">
        <f>IF(AND($N807=$Q$7,$B807&lt;'111'!$L$11),"x","")</f>
        <v/>
      </c>
      <c r="S807" s="47" t="str">
        <f>IF(AND($O807=$Q$7,$B807&lt;'111'!$L$11),"x","")</f>
        <v>x</v>
      </c>
    </row>
    <row r="808" spans="1:19" ht="15.75" customHeight="1">
      <c r="A808" s="152" t="str">
        <f>IF(B808&lt;&gt;"",IF(AND(B808='IN-TC'!$S$4,OR(TH!N808="1111",TH!O808="1111")),TH!D808,""),"")</f>
        <v/>
      </c>
      <c r="B808" s="34">
        <f t="shared" si="28"/>
        <v>6</v>
      </c>
      <c r="C808" s="35">
        <f t="shared" si="29"/>
        <v>42523</v>
      </c>
      <c r="D808" s="212" t="s">
        <v>867</v>
      </c>
      <c r="E808" s="35">
        <v>42523</v>
      </c>
      <c r="F808" s="144" t="s">
        <v>270</v>
      </c>
      <c r="G808" s="191" t="s">
        <v>207</v>
      </c>
      <c r="H808" s="198"/>
      <c r="I808" s="186"/>
      <c r="J808" s="186"/>
      <c r="K808" s="185"/>
      <c r="L808" s="186"/>
      <c r="M808" s="36">
        <v>560000</v>
      </c>
      <c r="N808" s="37"/>
      <c r="O808" s="37" t="s">
        <v>34</v>
      </c>
      <c r="P808" s="47" t="str">
        <f>IF(AND('331-CT'!$F$5=TH!H808,OR(N808="331",O808="331")),"x","")</f>
        <v/>
      </c>
      <c r="Q808" s="47" t="str">
        <f>IF(AND(B808='111'!$L$11,OR($N808=$Q$7,$O808=$Q$7)),"x","")</f>
        <v/>
      </c>
      <c r="R808" s="47" t="str">
        <f>IF(AND($N808=$Q$7,$B808&lt;'111'!$L$11),"x","")</f>
        <v/>
      </c>
      <c r="S808" s="47" t="str">
        <f>IF(AND($O808=$Q$7,$B808&lt;'111'!$L$11),"x","")</f>
        <v>x</v>
      </c>
    </row>
    <row r="809" spans="1:19" ht="15.75" customHeight="1">
      <c r="A809" s="152" t="str">
        <f>IF(B809&lt;&gt;"",IF(AND(B809='IN-TC'!$S$4,OR(TH!N809="1111",TH!O809="1111")),TH!D809,""),"")</f>
        <v/>
      </c>
      <c r="B809" s="34">
        <f t="shared" si="28"/>
        <v>6</v>
      </c>
      <c r="C809" s="35">
        <f t="shared" si="29"/>
        <v>42523</v>
      </c>
      <c r="D809" s="212" t="s">
        <v>868</v>
      </c>
      <c r="E809" s="35">
        <v>42523</v>
      </c>
      <c r="F809" s="144" t="s">
        <v>689</v>
      </c>
      <c r="G809" s="191" t="s">
        <v>202</v>
      </c>
      <c r="H809" s="198"/>
      <c r="I809" s="186"/>
      <c r="J809" s="186"/>
      <c r="K809" s="185"/>
      <c r="L809" s="186"/>
      <c r="M809" s="36">
        <v>439000</v>
      </c>
      <c r="N809" s="37"/>
      <c r="O809" s="37" t="s">
        <v>34</v>
      </c>
      <c r="P809" s="47" t="str">
        <f>IF(AND('331-CT'!$F$5=TH!H809,OR(N809="331",O809="331")),"x","")</f>
        <v/>
      </c>
      <c r="Q809" s="47" t="str">
        <f>IF(AND(B809='111'!$L$11,OR($N809=$Q$7,$O809=$Q$7)),"x","")</f>
        <v/>
      </c>
      <c r="R809" s="47" t="str">
        <f>IF(AND($N809=$Q$7,$B809&lt;'111'!$L$11),"x","")</f>
        <v/>
      </c>
      <c r="S809" s="47" t="str">
        <f>IF(AND($O809=$Q$7,$B809&lt;'111'!$L$11),"x","")</f>
        <v>x</v>
      </c>
    </row>
    <row r="810" spans="1:19" ht="15.75" customHeight="1">
      <c r="A810" s="152" t="str">
        <f>IF(B810&lt;&gt;"",IF(AND(B810='IN-TC'!$S$4,OR(TH!N810="1111",TH!O810="1111")),TH!D810,""),"")</f>
        <v/>
      </c>
      <c r="B810" s="34">
        <f t="shared" si="28"/>
        <v>6</v>
      </c>
      <c r="C810" s="35">
        <f t="shared" si="29"/>
        <v>42523</v>
      </c>
      <c r="D810" s="212" t="s">
        <v>869</v>
      </c>
      <c r="E810" s="35">
        <v>42523</v>
      </c>
      <c r="F810" s="144" t="s">
        <v>690</v>
      </c>
      <c r="G810" s="191" t="s">
        <v>110</v>
      </c>
      <c r="H810" s="198"/>
      <c r="I810" s="186"/>
      <c r="J810" s="186"/>
      <c r="K810" s="185"/>
      <c r="L810" s="186"/>
      <c r="M810" s="36">
        <v>3500000</v>
      </c>
      <c r="N810" s="37"/>
      <c r="O810" s="37" t="s">
        <v>34</v>
      </c>
      <c r="P810" s="47" t="str">
        <f>IF(AND('331-CT'!$F$5=TH!H810,OR(N810="331",O810="331")),"x","")</f>
        <v/>
      </c>
      <c r="Q810" s="47" t="str">
        <f>IF(AND(B810='111'!$L$11,OR($N810=$Q$7,$O810=$Q$7)),"x","")</f>
        <v/>
      </c>
      <c r="R810" s="47" t="str">
        <f>IF(AND($N810=$Q$7,$B810&lt;'111'!$L$11),"x","")</f>
        <v/>
      </c>
      <c r="S810" s="47" t="str">
        <f>IF(AND($O810=$Q$7,$B810&lt;'111'!$L$11),"x","")</f>
        <v>x</v>
      </c>
    </row>
    <row r="811" spans="1:19" ht="15.75" customHeight="1">
      <c r="A811" s="152" t="str">
        <f>IF(B811&lt;&gt;"",IF(AND(B811='IN-TC'!$S$4,OR(TH!N811="1111",TH!O811="1111")),TH!D811,""),"")</f>
        <v/>
      </c>
      <c r="B811" s="34">
        <f t="shared" si="28"/>
        <v>6</v>
      </c>
      <c r="C811" s="35">
        <f t="shared" si="29"/>
        <v>42523</v>
      </c>
      <c r="D811" s="212" t="s">
        <v>870</v>
      </c>
      <c r="E811" s="35">
        <v>42523</v>
      </c>
      <c r="F811" s="144" t="s">
        <v>671</v>
      </c>
      <c r="G811" s="191" t="s">
        <v>207</v>
      </c>
      <c r="H811" s="198"/>
      <c r="I811" s="186"/>
      <c r="J811" s="186"/>
      <c r="K811" s="185"/>
      <c r="L811" s="186"/>
      <c r="M811" s="36">
        <v>1000000</v>
      </c>
      <c r="N811" s="37"/>
      <c r="O811" s="37" t="s">
        <v>34</v>
      </c>
      <c r="P811" s="47" t="str">
        <f>IF(AND('331-CT'!$F$5=TH!H811,OR(N811="331",O811="331")),"x","")</f>
        <v/>
      </c>
      <c r="Q811" s="47" t="str">
        <f>IF(AND(B811='111'!$L$11,OR($N811=$Q$7,$O811=$Q$7)),"x","")</f>
        <v/>
      </c>
      <c r="R811" s="47" t="str">
        <f>IF(AND($N811=$Q$7,$B811&lt;'111'!$L$11),"x","")</f>
        <v/>
      </c>
      <c r="S811" s="47" t="str">
        <f>IF(AND($O811=$Q$7,$B811&lt;'111'!$L$11),"x","")</f>
        <v>x</v>
      </c>
    </row>
    <row r="812" spans="1:19" ht="15.75" customHeight="1">
      <c r="A812" s="152" t="str">
        <f>IF(B812&lt;&gt;"",IF(AND(B812='IN-TC'!$S$4,OR(TH!N812="1111",TH!O812="1111")),TH!D812,""),"")</f>
        <v/>
      </c>
      <c r="B812" s="34">
        <f t="shared" si="28"/>
        <v>6</v>
      </c>
      <c r="C812" s="35">
        <f t="shared" si="29"/>
        <v>42523</v>
      </c>
      <c r="D812" s="212"/>
      <c r="E812" s="35">
        <v>42523</v>
      </c>
      <c r="F812" s="144" t="s">
        <v>1467</v>
      </c>
      <c r="G812" s="191"/>
      <c r="H812" s="198" t="s">
        <v>831</v>
      </c>
      <c r="I812" s="186">
        <v>2240</v>
      </c>
      <c r="J812" s="186">
        <v>12000</v>
      </c>
      <c r="K812" s="185"/>
      <c r="L812" s="186"/>
      <c r="M812" s="36">
        <f>ROUND(I812*J812,0)</f>
        <v>26880000</v>
      </c>
      <c r="N812" s="37" t="s">
        <v>1443</v>
      </c>
      <c r="O812" s="37" t="s">
        <v>8</v>
      </c>
      <c r="P812" s="47" t="str">
        <f>IF(AND('331-CT'!$F$5=TH!H812,OR(N812="331",O812="331")),"x","")</f>
        <v/>
      </c>
      <c r="Q812" s="47" t="str">
        <f>IF(AND(B812='111'!$L$11,OR($N812=$Q$7,$O812=$Q$7)),"x","")</f>
        <v/>
      </c>
      <c r="R812" s="47" t="str">
        <f>IF(AND($N812=$Q$7,$B812&lt;'111'!$L$11),"x","")</f>
        <v/>
      </c>
      <c r="S812" s="47" t="str">
        <f>IF(AND($O812=$Q$7,$B812&lt;'111'!$L$11),"x","")</f>
        <v/>
      </c>
    </row>
    <row r="813" spans="1:19" ht="15.75" customHeight="1">
      <c r="A813" s="152" t="str">
        <f>IF(B813&lt;&gt;"",IF(AND(B813='IN-TC'!$S$4,OR(TH!N813="1111",TH!O813="1111")),TH!D813,""),"")</f>
        <v/>
      </c>
      <c r="B813" s="34">
        <f t="shared" si="28"/>
        <v>6</v>
      </c>
      <c r="C813" s="35">
        <f t="shared" si="29"/>
        <v>42523</v>
      </c>
      <c r="D813" s="212"/>
      <c r="E813" s="35">
        <v>42523</v>
      </c>
      <c r="F813" s="144" t="s">
        <v>1466</v>
      </c>
      <c r="G813" s="191" t="s">
        <v>204</v>
      </c>
      <c r="H813" s="198" t="s">
        <v>832</v>
      </c>
      <c r="I813" s="186">
        <v>954</v>
      </c>
      <c r="J813" s="186">
        <v>15000</v>
      </c>
      <c r="K813" s="185"/>
      <c r="L813" s="186"/>
      <c r="M813" s="36">
        <f>ROUND(I813*J813,0)</f>
        <v>14310000</v>
      </c>
      <c r="N813" s="37" t="s">
        <v>1443</v>
      </c>
      <c r="O813" s="37" t="s">
        <v>8</v>
      </c>
      <c r="P813" s="47" t="str">
        <f>IF(AND('331-CT'!$F$5=TH!H813,OR(N813="331",O813="331")),"x","")</f>
        <v/>
      </c>
      <c r="Q813" s="47" t="str">
        <f>IF(AND(B813='111'!$L$11,OR($N813=$Q$7,$O813=$Q$7)),"x","")</f>
        <v/>
      </c>
      <c r="R813" s="47" t="str">
        <f>IF(AND($N813=$Q$7,$B813&lt;'111'!$L$11),"x","")</f>
        <v/>
      </c>
      <c r="S813" s="47" t="str">
        <f>IF(AND($O813=$Q$7,$B813&lt;'111'!$L$11),"x","")</f>
        <v/>
      </c>
    </row>
    <row r="814" spans="1:19" ht="15.75" customHeight="1">
      <c r="A814" s="152" t="str">
        <f>IF(B814&lt;&gt;"",IF(AND(B814='IN-TC'!$S$4,OR(TH!N814="1111",TH!O814="1111")),TH!D814,""),"")</f>
        <v/>
      </c>
      <c r="B814" s="34">
        <f t="shared" si="28"/>
        <v>6</v>
      </c>
      <c r="C814" s="35">
        <f t="shared" si="29"/>
        <v>42523</v>
      </c>
      <c r="D814" s="212"/>
      <c r="E814" s="35">
        <v>42523</v>
      </c>
      <c r="F814" s="144" t="s">
        <v>1473</v>
      </c>
      <c r="G814" s="191" t="s">
        <v>204</v>
      </c>
      <c r="H814" s="198" t="s">
        <v>832</v>
      </c>
      <c r="I814" s="186">
        <v>446</v>
      </c>
      <c r="J814" s="186">
        <v>21000</v>
      </c>
      <c r="K814" s="185"/>
      <c r="L814" s="186"/>
      <c r="M814" s="36">
        <f>ROUND(I814*J814,0)</f>
        <v>9366000</v>
      </c>
      <c r="N814" s="37" t="s">
        <v>1443</v>
      </c>
      <c r="O814" s="37" t="s">
        <v>8</v>
      </c>
      <c r="P814" s="47" t="str">
        <f>IF(AND('331-CT'!$F$5=TH!H814,OR(N814="331",O814="331")),"x","")</f>
        <v/>
      </c>
      <c r="Q814" s="47" t="str">
        <f>IF(AND(B814='111'!$L$11,OR($N814=$Q$7,$O814=$Q$7)),"x","")</f>
        <v/>
      </c>
      <c r="R814" s="47" t="str">
        <f>IF(AND($N814=$Q$7,$B814&lt;'111'!$L$11),"x","")</f>
        <v/>
      </c>
      <c r="S814" s="47" t="str">
        <f>IF(AND($O814=$Q$7,$B814&lt;'111'!$L$11),"x","")</f>
        <v/>
      </c>
    </row>
    <row r="815" spans="1:19" ht="15.75" customHeight="1">
      <c r="A815" s="152" t="str">
        <f>IF(B815&lt;&gt;"",IF(AND(B815='IN-TC'!$S$4,OR(TH!N815="1111",TH!O815="1111")),TH!D815,""),"")</f>
        <v/>
      </c>
      <c r="B815" s="34">
        <f t="shared" si="28"/>
        <v>6</v>
      </c>
      <c r="C815" s="35">
        <f t="shared" si="29"/>
        <v>42524</v>
      </c>
      <c r="D815" s="212" t="s">
        <v>937</v>
      </c>
      <c r="E815" s="35">
        <v>42524</v>
      </c>
      <c r="F815" s="144" t="s">
        <v>185</v>
      </c>
      <c r="G815" s="191" t="s">
        <v>115</v>
      </c>
      <c r="H815" s="198"/>
      <c r="I815" s="186"/>
      <c r="J815" s="186"/>
      <c r="K815" s="185"/>
      <c r="L815" s="186"/>
      <c r="M815" s="36">
        <v>1586000</v>
      </c>
      <c r="N815" s="37" t="s">
        <v>34</v>
      </c>
      <c r="O815" s="37"/>
      <c r="P815" s="47" t="str">
        <f>IF(AND('331-CT'!$F$5=TH!H815,OR(N815="331",O815="331")),"x","")</f>
        <v/>
      </c>
      <c r="Q815" s="47" t="str">
        <f>IF(AND(B815='111'!$L$11,OR($N815=$Q$7,$O815=$Q$7)),"x","")</f>
        <v/>
      </c>
      <c r="R815" s="47" t="str">
        <f>IF(AND($N815=$Q$7,$B815&lt;'111'!$L$11),"x","")</f>
        <v>x</v>
      </c>
      <c r="S815" s="47" t="str">
        <f>IF(AND($O815=$Q$7,$B815&lt;'111'!$L$11),"x","")</f>
        <v/>
      </c>
    </row>
    <row r="816" spans="1:19" ht="15.75" customHeight="1">
      <c r="A816" s="152" t="str">
        <f>IF(B816&lt;&gt;"",IF(AND(B816='IN-TC'!$S$4,OR(TH!N816="1111",TH!O816="1111")),TH!D816,""),"")</f>
        <v/>
      </c>
      <c r="B816" s="34">
        <f t="shared" si="28"/>
        <v>6</v>
      </c>
      <c r="C816" s="35">
        <f t="shared" si="29"/>
        <v>42524</v>
      </c>
      <c r="D816" s="212" t="s">
        <v>871</v>
      </c>
      <c r="E816" s="35">
        <v>42524</v>
      </c>
      <c r="F816" s="144" t="s">
        <v>691</v>
      </c>
      <c r="G816" s="191" t="s">
        <v>216</v>
      </c>
      <c r="H816" s="198"/>
      <c r="I816" s="186"/>
      <c r="J816" s="186"/>
      <c r="K816" s="185"/>
      <c r="L816" s="186"/>
      <c r="M816" s="36">
        <v>595000</v>
      </c>
      <c r="N816" s="37"/>
      <c r="O816" s="37" t="s">
        <v>34</v>
      </c>
      <c r="P816" s="47" t="str">
        <f>IF(AND('331-CT'!$F$5=TH!H816,OR(N816="331",O816="331")),"x","")</f>
        <v/>
      </c>
      <c r="Q816" s="47" t="str">
        <f>IF(AND(B816='111'!$L$11,OR($N816=$Q$7,$O816=$Q$7)),"x","")</f>
        <v/>
      </c>
      <c r="R816" s="47" t="str">
        <f>IF(AND($N816=$Q$7,$B816&lt;'111'!$L$11),"x","")</f>
        <v/>
      </c>
      <c r="S816" s="47" t="str">
        <f>IF(AND($O816=$Q$7,$B816&lt;'111'!$L$11),"x","")</f>
        <v>x</v>
      </c>
    </row>
    <row r="817" spans="1:19" ht="15.75" customHeight="1">
      <c r="A817" s="152" t="str">
        <f>IF(B817&lt;&gt;"",IF(AND(B817='IN-TC'!$S$4,OR(TH!N817="1111",TH!O817="1111")),TH!D817,""),"")</f>
        <v/>
      </c>
      <c r="B817" s="34">
        <f t="shared" si="28"/>
        <v>6</v>
      </c>
      <c r="C817" s="35">
        <f t="shared" si="29"/>
        <v>42524</v>
      </c>
      <c r="D817" s="212" t="s">
        <v>872</v>
      </c>
      <c r="E817" s="35">
        <v>42524</v>
      </c>
      <c r="F817" s="144" t="s">
        <v>692</v>
      </c>
      <c r="G817" s="191" t="s">
        <v>202</v>
      </c>
      <c r="H817" s="198"/>
      <c r="I817" s="186"/>
      <c r="J817" s="186"/>
      <c r="K817" s="185"/>
      <c r="L817" s="186"/>
      <c r="M817" s="36">
        <v>220000</v>
      </c>
      <c r="N817" s="37"/>
      <c r="O817" s="37" t="s">
        <v>34</v>
      </c>
      <c r="P817" s="47" t="str">
        <f>IF(AND('331-CT'!$F$5=TH!H817,OR(N817="331",O817="331")),"x","")</f>
        <v/>
      </c>
      <c r="Q817" s="47" t="str">
        <f>IF(AND(B817='111'!$L$11,OR($N817=$Q$7,$O817=$Q$7)),"x","")</f>
        <v/>
      </c>
      <c r="R817" s="47" t="str">
        <f>IF(AND($N817=$Q$7,$B817&lt;'111'!$L$11),"x","")</f>
        <v/>
      </c>
      <c r="S817" s="47" t="str">
        <f>IF(AND($O817=$Q$7,$B817&lt;'111'!$L$11),"x","")</f>
        <v>x</v>
      </c>
    </row>
    <row r="818" spans="1:19" ht="15.75" customHeight="1">
      <c r="A818" s="152" t="str">
        <f>IF(B818&lt;&gt;"",IF(AND(B818='IN-TC'!$S$4,OR(TH!N818="1111",TH!O818="1111")),TH!D818,""),"")</f>
        <v/>
      </c>
      <c r="B818" s="34">
        <f t="shared" si="28"/>
        <v>6</v>
      </c>
      <c r="C818" s="35">
        <f t="shared" si="29"/>
        <v>42524</v>
      </c>
      <c r="D818" s="212" t="s">
        <v>873</v>
      </c>
      <c r="E818" s="35">
        <v>42524</v>
      </c>
      <c r="F818" s="144" t="s">
        <v>693</v>
      </c>
      <c r="G818" s="191" t="s">
        <v>204</v>
      </c>
      <c r="H818" s="198"/>
      <c r="I818" s="186"/>
      <c r="J818" s="186"/>
      <c r="K818" s="185"/>
      <c r="L818" s="186"/>
      <c r="M818" s="36">
        <v>2200000</v>
      </c>
      <c r="N818" s="37"/>
      <c r="O818" s="37" t="s">
        <v>34</v>
      </c>
      <c r="P818" s="47" t="str">
        <f>IF(AND('331-CT'!$F$5=TH!H818,OR(N818="331",O818="331")),"x","")</f>
        <v/>
      </c>
      <c r="Q818" s="47" t="str">
        <f>IF(AND(B818='111'!$L$11,OR($N818=$Q$7,$O818=$Q$7)),"x","")</f>
        <v/>
      </c>
      <c r="R818" s="47" t="str">
        <f>IF(AND($N818=$Q$7,$B818&lt;'111'!$L$11),"x","")</f>
        <v/>
      </c>
      <c r="S818" s="47" t="str">
        <f>IF(AND($O818=$Q$7,$B818&lt;'111'!$L$11),"x","")</f>
        <v>x</v>
      </c>
    </row>
    <row r="819" spans="1:19" ht="15.75" customHeight="1">
      <c r="A819" s="152" t="str">
        <f>IF(B819&lt;&gt;"",IF(AND(B819='IN-TC'!$S$4,OR(TH!N819="1111",TH!O819="1111")),TH!D819,""),"")</f>
        <v/>
      </c>
      <c r="B819" s="34">
        <f t="shared" si="28"/>
        <v>6</v>
      </c>
      <c r="C819" s="35">
        <f t="shared" si="29"/>
        <v>42524</v>
      </c>
      <c r="D819" s="212" t="s">
        <v>874</v>
      </c>
      <c r="E819" s="35">
        <v>42524</v>
      </c>
      <c r="F819" s="144" t="s">
        <v>694</v>
      </c>
      <c r="G819" s="191" t="s">
        <v>205</v>
      </c>
      <c r="H819" s="198"/>
      <c r="I819" s="186"/>
      <c r="J819" s="186"/>
      <c r="K819" s="185"/>
      <c r="L819" s="186"/>
      <c r="M819" s="36">
        <v>457000</v>
      </c>
      <c r="N819" s="37"/>
      <c r="O819" s="37" t="s">
        <v>34</v>
      </c>
      <c r="P819" s="47" t="str">
        <f>IF(AND('331-CT'!$F$5=TH!H819,OR(N819="331",O819="331")),"x","")</f>
        <v/>
      </c>
      <c r="Q819" s="47" t="str">
        <f>IF(AND(B819='111'!$L$11,OR($N819=$Q$7,$O819=$Q$7)),"x","")</f>
        <v/>
      </c>
      <c r="R819" s="47" t="str">
        <f>IF(AND($N819=$Q$7,$B819&lt;'111'!$L$11),"x","")</f>
        <v/>
      </c>
      <c r="S819" s="47" t="str">
        <f>IF(AND($O819=$Q$7,$B819&lt;'111'!$L$11),"x","")</f>
        <v>x</v>
      </c>
    </row>
    <row r="820" spans="1:19" ht="15.75" customHeight="1">
      <c r="A820" s="152" t="str">
        <f>IF(B820&lt;&gt;"",IF(AND(B820='IN-TC'!$S$4,OR(TH!N820="1111",TH!O820="1111")),TH!D820,""),"")</f>
        <v/>
      </c>
      <c r="B820" s="34">
        <f t="shared" si="28"/>
        <v>6</v>
      </c>
      <c r="C820" s="35">
        <f t="shared" si="29"/>
        <v>42524</v>
      </c>
      <c r="D820" s="212"/>
      <c r="E820" s="35">
        <v>42524</v>
      </c>
      <c r="F820" s="144" t="s">
        <v>1467</v>
      </c>
      <c r="G820" s="191"/>
      <c r="H820" s="198" t="s">
        <v>831</v>
      </c>
      <c r="I820" s="186">
        <v>1700</v>
      </c>
      <c r="J820" s="186">
        <v>13000</v>
      </c>
      <c r="K820" s="185"/>
      <c r="L820" s="186"/>
      <c r="M820" s="36">
        <f>ROUND(I820*J820,0)</f>
        <v>22100000</v>
      </c>
      <c r="N820" s="37" t="s">
        <v>1443</v>
      </c>
      <c r="O820" s="37" t="s">
        <v>8</v>
      </c>
      <c r="P820" s="47" t="str">
        <f>IF(AND('331-CT'!$F$5=TH!H820,OR(N820="331",O820="331")),"x","")</f>
        <v/>
      </c>
      <c r="Q820" s="47" t="str">
        <f>IF(AND(B820='111'!$L$11,OR($N820=$Q$7,$O820=$Q$7)),"x","")</f>
        <v/>
      </c>
      <c r="R820" s="47" t="str">
        <f>IF(AND($N820=$Q$7,$B820&lt;'111'!$L$11),"x","")</f>
        <v/>
      </c>
      <c r="S820" s="47" t="str">
        <f>IF(AND($O820=$Q$7,$B820&lt;'111'!$L$11),"x","")</f>
        <v/>
      </c>
    </row>
    <row r="821" spans="1:19" ht="15.75" customHeight="1">
      <c r="A821" s="152" t="str">
        <f>IF(B821&lt;&gt;"",IF(AND(B821='IN-TC'!$S$4,OR(TH!N821="1111",TH!O821="1111")),TH!D821,""),"")</f>
        <v/>
      </c>
      <c r="B821" s="34">
        <f t="shared" si="28"/>
        <v>6</v>
      </c>
      <c r="C821" s="35">
        <f t="shared" si="29"/>
        <v>42525</v>
      </c>
      <c r="D821" s="212"/>
      <c r="E821" s="35">
        <v>42525</v>
      </c>
      <c r="F821" s="144" t="s">
        <v>1467</v>
      </c>
      <c r="G821" s="191"/>
      <c r="H821" s="198" t="s">
        <v>831</v>
      </c>
      <c r="I821" s="186">
        <v>1170</v>
      </c>
      <c r="J821" s="186">
        <v>13000</v>
      </c>
      <c r="K821" s="185"/>
      <c r="L821" s="186"/>
      <c r="M821" s="36">
        <f>ROUND(I821*J821,0)</f>
        <v>15210000</v>
      </c>
      <c r="N821" s="37" t="s">
        <v>1443</v>
      </c>
      <c r="O821" s="37" t="s">
        <v>8</v>
      </c>
      <c r="P821" s="47" t="str">
        <f>IF(AND('331-CT'!$F$5=TH!H821,OR(N821="331",O821="331")),"x","")</f>
        <v/>
      </c>
      <c r="Q821" s="47" t="str">
        <f>IF(AND(B821='111'!$L$11,OR($N821=$Q$7,$O821=$Q$7)),"x","")</f>
        <v/>
      </c>
      <c r="R821" s="47" t="str">
        <f>IF(AND($N821=$Q$7,$B821&lt;'111'!$L$11),"x","")</f>
        <v/>
      </c>
      <c r="S821" s="47" t="str">
        <f>IF(AND($O821=$Q$7,$B821&lt;'111'!$L$11),"x","")</f>
        <v/>
      </c>
    </row>
    <row r="822" spans="1:19" ht="15.75" customHeight="1">
      <c r="A822" s="152" t="str">
        <f>IF(B822&lt;&gt;"",IF(AND(B822='IN-TC'!$S$4,OR(TH!N822="1111",TH!O822="1111")),TH!D822,""),"")</f>
        <v/>
      </c>
      <c r="B822" s="34">
        <f t="shared" si="28"/>
        <v>6</v>
      </c>
      <c r="C822" s="35">
        <f t="shared" si="29"/>
        <v>42527</v>
      </c>
      <c r="D822" s="212" t="s">
        <v>875</v>
      </c>
      <c r="E822" s="35">
        <v>42527</v>
      </c>
      <c r="F822" s="144" t="s">
        <v>695</v>
      </c>
      <c r="G822" s="191" t="s">
        <v>216</v>
      </c>
      <c r="H822" s="198"/>
      <c r="I822" s="186"/>
      <c r="J822" s="186"/>
      <c r="K822" s="185"/>
      <c r="L822" s="186"/>
      <c r="M822" s="36">
        <v>1500000</v>
      </c>
      <c r="N822" s="37"/>
      <c r="O822" s="37" t="s">
        <v>34</v>
      </c>
      <c r="P822" s="47" t="str">
        <f>IF(AND('331-CT'!$F$5=TH!H822,OR(N822="331",O822="331")),"x","")</f>
        <v/>
      </c>
      <c r="Q822" s="47" t="str">
        <f>IF(AND(B822='111'!$L$11,OR($N822=$Q$7,$O822=$Q$7)),"x","")</f>
        <v/>
      </c>
      <c r="R822" s="47" t="str">
        <f>IF(AND($N822=$Q$7,$B822&lt;'111'!$L$11),"x","")</f>
        <v/>
      </c>
      <c r="S822" s="47" t="str">
        <f>IF(AND($O822=$Q$7,$B822&lt;'111'!$L$11),"x","")</f>
        <v>x</v>
      </c>
    </row>
    <row r="823" spans="1:19" ht="15.75" customHeight="1">
      <c r="A823" s="152" t="str">
        <f>IF(B823&lt;&gt;"",IF(AND(B823='IN-TC'!$S$4,OR(TH!N823="1111",TH!O823="1111")),TH!D823,""),"")</f>
        <v/>
      </c>
      <c r="B823" s="34">
        <f t="shared" si="28"/>
        <v>6</v>
      </c>
      <c r="C823" s="35">
        <f t="shared" si="29"/>
        <v>42527</v>
      </c>
      <c r="D823" s="212" t="s">
        <v>876</v>
      </c>
      <c r="E823" s="35">
        <v>42527</v>
      </c>
      <c r="F823" s="144" t="s">
        <v>696</v>
      </c>
      <c r="G823" s="191" t="s">
        <v>205</v>
      </c>
      <c r="H823" s="198"/>
      <c r="I823" s="186"/>
      <c r="J823" s="186"/>
      <c r="K823" s="185"/>
      <c r="L823" s="186"/>
      <c r="M823" s="36">
        <v>265000</v>
      </c>
      <c r="N823" s="37"/>
      <c r="O823" s="37" t="s">
        <v>34</v>
      </c>
      <c r="P823" s="47" t="str">
        <f>IF(AND('331-CT'!$F$5=TH!H823,OR(N823="331",O823="331")),"x","")</f>
        <v/>
      </c>
      <c r="Q823" s="47" t="str">
        <f>IF(AND(B823='111'!$L$11,OR($N823=$Q$7,$O823=$Q$7)),"x","")</f>
        <v/>
      </c>
      <c r="R823" s="47" t="str">
        <f>IF(AND($N823=$Q$7,$B823&lt;'111'!$L$11),"x","")</f>
        <v/>
      </c>
      <c r="S823" s="47" t="str">
        <f>IF(AND($O823=$Q$7,$B823&lt;'111'!$L$11),"x","")</f>
        <v>x</v>
      </c>
    </row>
    <row r="824" spans="1:19" ht="15.75" customHeight="1">
      <c r="A824" s="152" t="str">
        <f>IF(B824&lt;&gt;"",IF(AND(B824='IN-TC'!$S$4,OR(TH!N824="1111",TH!O824="1111")),TH!D824,""),"")</f>
        <v/>
      </c>
      <c r="B824" s="34">
        <f t="shared" si="28"/>
        <v>6</v>
      </c>
      <c r="C824" s="35">
        <f t="shared" si="29"/>
        <v>42527</v>
      </c>
      <c r="D824" s="212" t="s">
        <v>877</v>
      </c>
      <c r="E824" s="35">
        <v>42527</v>
      </c>
      <c r="F824" s="144" t="s">
        <v>697</v>
      </c>
      <c r="G824" s="191" t="s">
        <v>207</v>
      </c>
      <c r="H824" s="198"/>
      <c r="I824" s="186"/>
      <c r="J824" s="186"/>
      <c r="K824" s="185"/>
      <c r="L824" s="186"/>
      <c r="M824" s="36">
        <v>2000000</v>
      </c>
      <c r="N824" s="37"/>
      <c r="O824" s="37" t="s">
        <v>34</v>
      </c>
      <c r="P824" s="47" t="str">
        <f>IF(AND('331-CT'!$F$5=TH!H824,OR(N824="331",O824="331")),"x","")</f>
        <v/>
      </c>
      <c r="Q824" s="47" t="str">
        <f>IF(AND(B824='111'!$L$11,OR($N824=$Q$7,$O824=$Q$7)),"x","")</f>
        <v/>
      </c>
      <c r="R824" s="47" t="str">
        <f>IF(AND($N824=$Q$7,$B824&lt;'111'!$L$11),"x","")</f>
        <v/>
      </c>
      <c r="S824" s="47" t="str">
        <f>IF(AND($O824=$Q$7,$B824&lt;'111'!$L$11),"x","")</f>
        <v>x</v>
      </c>
    </row>
    <row r="825" spans="1:19" ht="15.75" customHeight="1">
      <c r="A825" s="152" t="str">
        <f>IF(B825&lt;&gt;"",IF(AND(B825='IN-TC'!$S$4,OR(TH!N825="1111",TH!O825="1111")),TH!D825,""),"")</f>
        <v/>
      </c>
      <c r="B825" s="34">
        <f t="shared" si="28"/>
        <v>6</v>
      </c>
      <c r="C825" s="35">
        <f t="shared" si="29"/>
        <v>42527</v>
      </c>
      <c r="D825" s="212" t="s">
        <v>878</v>
      </c>
      <c r="E825" s="35">
        <v>42527</v>
      </c>
      <c r="F825" s="144" t="s">
        <v>698</v>
      </c>
      <c r="G825" s="191" t="s">
        <v>205</v>
      </c>
      <c r="H825" s="198"/>
      <c r="I825" s="186"/>
      <c r="J825" s="186"/>
      <c r="K825" s="185"/>
      <c r="L825" s="186"/>
      <c r="M825" s="36">
        <v>1020000</v>
      </c>
      <c r="N825" s="37"/>
      <c r="O825" s="37" t="s">
        <v>34</v>
      </c>
      <c r="P825" s="47" t="str">
        <f>IF(AND('331-CT'!$F$5=TH!H825,OR(N825="331",O825="331")),"x","")</f>
        <v/>
      </c>
      <c r="Q825" s="47" t="str">
        <f>IF(AND(B825='111'!$L$11,OR($N825=$Q$7,$O825=$Q$7)),"x","")</f>
        <v/>
      </c>
      <c r="R825" s="47" t="str">
        <f>IF(AND($N825=$Q$7,$B825&lt;'111'!$L$11),"x","")</f>
        <v/>
      </c>
      <c r="S825" s="47" t="str">
        <f>IF(AND($O825=$Q$7,$B825&lt;'111'!$L$11),"x","")</f>
        <v>x</v>
      </c>
    </row>
    <row r="826" spans="1:19" ht="15.75" customHeight="1">
      <c r="A826" s="152" t="str">
        <f>IF(B826&lt;&gt;"",IF(AND(B826='IN-TC'!$S$4,OR(TH!N826="1111",TH!O826="1111")),TH!D826,""),"")</f>
        <v/>
      </c>
      <c r="B826" s="34">
        <f t="shared" si="28"/>
        <v>6</v>
      </c>
      <c r="C826" s="35">
        <f t="shared" si="29"/>
        <v>42527</v>
      </c>
      <c r="D826" s="212" t="s">
        <v>879</v>
      </c>
      <c r="E826" s="35">
        <v>42527</v>
      </c>
      <c r="F826" s="144" t="s">
        <v>699</v>
      </c>
      <c r="G826" s="191" t="s">
        <v>202</v>
      </c>
      <c r="H826" s="198"/>
      <c r="I826" s="186"/>
      <c r="J826" s="186"/>
      <c r="K826" s="185"/>
      <c r="L826" s="186"/>
      <c r="M826" s="36">
        <v>3000000</v>
      </c>
      <c r="N826" s="37"/>
      <c r="O826" s="37" t="s">
        <v>34</v>
      </c>
      <c r="P826" s="47" t="str">
        <f>IF(AND('331-CT'!$F$5=TH!H826,OR(N826="331",O826="331")),"x","")</f>
        <v/>
      </c>
      <c r="Q826" s="47" t="str">
        <f>IF(AND(B826='111'!$L$11,OR($N826=$Q$7,$O826=$Q$7)),"x","")</f>
        <v/>
      </c>
      <c r="R826" s="47" t="str">
        <f>IF(AND($N826=$Q$7,$B826&lt;'111'!$L$11),"x","")</f>
        <v/>
      </c>
      <c r="S826" s="47" t="str">
        <f>IF(AND($O826=$Q$7,$B826&lt;'111'!$L$11),"x","")</f>
        <v>x</v>
      </c>
    </row>
    <row r="827" spans="1:19" ht="15.75" customHeight="1">
      <c r="A827" s="152" t="str">
        <f>IF(B827&lt;&gt;"",IF(AND(B827='IN-TC'!$S$4,OR(TH!N827="1111",TH!O827="1111")),TH!D827,""),"")</f>
        <v/>
      </c>
      <c r="B827" s="34">
        <f t="shared" si="28"/>
        <v>6</v>
      </c>
      <c r="C827" s="35">
        <f t="shared" si="29"/>
        <v>42527</v>
      </c>
      <c r="D827" s="212" t="s">
        <v>880</v>
      </c>
      <c r="E827" s="35">
        <v>42527</v>
      </c>
      <c r="F827" s="144" t="s">
        <v>700</v>
      </c>
      <c r="G827" s="191" t="s">
        <v>205</v>
      </c>
      <c r="H827" s="198"/>
      <c r="I827" s="186"/>
      <c r="J827" s="186"/>
      <c r="K827" s="185"/>
      <c r="L827" s="186"/>
      <c r="M827" s="36">
        <v>90000</v>
      </c>
      <c r="N827" s="37"/>
      <c r="O827" s="37" t="s">
        <v>34</v>
      </c>
      <c r="P827" s="47" t="str">
        <f>IF(AND('331-CT'!$F$5=TH!H827,OR(N827="331",O827="331")),"x","")</f>
        <v/>
      </c>
      <c r="Q827" s="47" t="str">
        <f>IF(AND(B827='111'!$L$11,OR($N827=$Q$7,$O827=$Q$7)),"x","")</f>
        <v/>
      </c>
      <c r="R827" s="47" t="str">
        <f>IF(AND($N827=$Q$7,$B827&lt;'111'!$L$11),"x","")</f>
        <v/>
      </c>
      <c r="S827" s="47" t="str">
        <f>IF(AND($O827=$Q$7,$B827&lt;'111'!$L$11),"x","")</f>
        <v>x</v>
      </c>
    </row>
    <row r="828" spans="1:19" ht="15.75" customHeight="1">
      <c r="A828" s="152" t="str">
        <f>IF(B828&lt;&gt;"",IF(AND(B828='IN-TC'!$S$4,OR(TH!N828="1111",TH!O828="1111")),TH!D828,""),"")</f>
        <v/>
      </c>
      <c r="B828" s="34">
        <f t="shared" si="28"/>
        <v>6</v>
      </c>
      <c r="C828" s="35">
        <f t="shared" si="29"/>
        <v>42527</v>
      </c>
      <c r="D828" s="212" t="s">
        <v>881</v>
      </c>
      <c r="E828" s="35">
        <v>42527</v>
      </c>
      <c r="F828" s="144" t="s">
        <v>701</v>
      </c>
      <c r="G828" s="191" t="s">
        <v>205</v>
      </c>
      <c r="H828" s="198"/>
      <c r="I828" s="186"/>
      <c r="J828" s="186"/>
      <c r="K828" s="185"/>
      <c r="L828" s="186"/>
      <c r="M828" s="36">
        <v>130000</v>
      </c>
      <c r="N828" s="37"/>
      <c r="O828" s="37" t="s">
        <v>34</v>
      </c>
      <c r="P828" s="47" t="str">
        <f>IF(AND('331-CT'!$F$5=TH!H828,OR(N828="331",O828="331")),"x","")</f>
        <v/>
      </c>
      <c r="Q828" s="47" t="str">
        <f>IF(AND(B828='111'!$L$11,OR($N828=$Q$7,$O828=$Q$7)),"x","")</f>
        <v/>
      </c>
      <c r="R828" s="47" t="str">
        <f>IF(AND($N828=$Q$7,$B828&lt;'111'!$L$11),"x","")</f>
        <v/>
      </c>
      <c r="S828" s="47" t="str">
        <f>IF(AND($O828=$Q$7,$B828&lt;'111'!$L$11),"x","")</f>
        <v>x</v>
      </c>
    </row>
    <row r="829" spans="1:19" ht="15.75" customHeight="1">
      <c r="A829" s="152" t="str">
        <f>IF(B829&lt;&gt;"",IF(AND(B829='IN-TC'!$S$4,OR(TH!N829="1111",TH!O829="1111")),TH!D829,""),"")</f>
        <v/>
      </c>
      <c r="B829" s="34">
        <f t="shared" si="28"/>
        <v>6</v>
      </c>
      <c r="C829" s="35">
        <f t="shared" si="29"/>
        <v>42527</v>
      </c>
      <c r="D829" s="212"/>
      <c r="E829" s="35">
        <v>42527</v>
      </c>
      <c r="F829" s="144" t="s">
        <v>1439</v>
      </c>
      <c r="G829" s="191"/>
      <c r="H829" s="198" t="s">
        <v>839</v>
      </c>
      <c r="I829" s="186">
        <v>4576</v>
      </c>
      <c r="J829" s="186">
        <v>110000</v>
      </c>
      <c r="K829" s="185"/>
      <c r="L829" s="186"/>
      <c r="M829" s="36">
        <f>ROUND(I829*J829,0)</f>
        <v>503360000</v>
      </c>
      <c r="N829" s="37" t="s">
        <v>8</v>
      </c>
      <c r="O829" s="37" t="s">
        <v>1443</v>
      </c>
      <c r="P829" s="47" t="str">
        <f>IF(AND('331-CT'!$F$5=TH!H829,OR(N829="331",O829="331")),"x","")</f>
        <v/>
      </c>
      <c r="Q829" s="47" t="str">
        <f>IF(AND(B829='111'!$L$11,OR($N829=$Q$7,$O829=$Q$7)),"x","")</f>
        <v/>
      </c>
      <c r="R829" s="47" t="str">
        <f>IF(AND($N829=$Q$7,$B829&lt;'111'!$L$11),"x","")</f>
        <v/>
      </c>
      <c r="S829" s="47" t="str">
        <f>IF(AND($O829=$Q$7,$B829&lt;'111'!$L$11),"x","")</f>
        <v/>
      </c>
    </row>
    <row r="830" spans="1:19" ht="15.75" customHeight="1">
      <c r="A830" s="152" t="str">
        <f>IF(B830&lt;&gt;"",IF(AND(B830='IN-TC'!$S$4,OR(TH!N830="1111",TH!O830="1111")),TH!D830,""),"")</f>
        <v/>
      </c>
      <c r="B830" s="34">
        <f t="shared" si="28"/>
        <v>6</v>
      </c>
      <c r="C830" s="35">
        <f t="shared" si="29"/>
        <v>42527</v>
      </c>
      <c r="D830" s="212"/>
      <c r="E830" s="35">
        <v>42527</v>
      </c>
      <c r="F830" s="144" t="s">
        <v>1439</v>
      </c>
      <c r="G830" s="191"/>
      <c r="H830" s="198" t="s">
        <v>839</v>
      </c>
      <c r="I830" s="186">
        <v>2670</v>
      </c>
      <c r="J830" s="186">
        <v>110000</v>
      </c>
      <c r="K830" s="185"/>
      <c r="L830" s="186"/>
      <c r="M830" s="36">
        <f>ROUND(I830*J830,0)</f>
        <v>293700000</v>
      </c>
      <c r="N830" s="37" t="s">
        <v>8</v>
      </c>
      <c r="O830" s="37" t="s">
        <v>1443</v>
      </c>
      <c r="P830" s="47" t="str">
        <f>IF(AND('331-CT'!$F$5=TH!H830,OR(N830="331",O830="331")),"x","")</f>
        <v/>
      </c>
      <c r="Q830" s="47" t="str">
        <f>IF(AND(B830='111'!$L$11,OR($N830=$Q$7,$O830=$Q$7)),"x","")</f>
        <v/>
      </c>
      <c r="R830" s="47" t="str">
        <f>IF(AND($N830=$Q$7,$B830&lt;'111'!$L$11),"x","")</f>
        <v/>
      </c>
      <c r="S830" s="47" t="str">
        <f>IF(AND($O830=$Q$7,$B830&lt;'111'!$L$11),"x","")</f>
        <v/>
      </c>
    </row>
    <row r="831" spans="1:19" ht="15.75" customHeight="1">
      <c r="A831" s="152" t="str">
        <f>IF(B831&lt;&gt;"",IF(AND(B831='IN-TC'!$S$4,OR(TH!N831="1111",TH!O831="1111")),TH!D831,""),"")</f>
        <v/>
      </c>
      <c r="B831" s="34">
        <f t="shared" si="28"/>
        <v>6</v>
      </c>
      <c r="C831" s="35">
        <f t="shared" si="29"/>
        <v>42527</v>
      </c>
      <c r="D831" s="212"/>
      <c r="E831" s="35">
        <v>42527</v>
      </c>
      <c r="F831" s="144" t="s">
        <v>1467</v>
      </c>
      <c r="G831" s="191"/>
      <c r="H831" s="198" t="s">
        <v>831</v>
      </c>
      <c r="I831" s="186">
        <v>1330</v>
      </c>
      <c r="J831" s="186">
        <v>13000</v>
      </c>
      <c r="K831" s="185"/>
      <c r="L831" s="186"/>
      <c r="M831" s="36">
        <f>ROUND(I831*J831,0)</f>
        <v>17290000</v>
      </c>
      <c r="N831" s="37" t="s">
        <v>1443</v>
      </c>
      <c r="O831" s="37" t="s">
        <v>8</v>
      </c>
      <c r="P831" s="47" t="str">
        <f>IF(AND('331-CT'!$F$5=TH!H831,OR(N831="331",O831="331")),"x","")</f>
        <v/>
      </c>
      <c r="Q831" s="47" t="str">
        <f>IF(AND(B831='111'!$L$11,OR($N831=$Q$7,$O831=$Q$7)),"x","")</f>
        <v/>
      </c>
      <c r="R831" s="47" t="str">
        <f>IF(AND($N831=$Q$7,$B831&lt;'111'!$L$11),"x","")</f>
        <v/>
      </c>
      <c r="S831" s="47" t="str">
        <f>IF(AND($O831=$Q$7,$B831&lt;'111'!$L$11),"x","")</f>
        <v/>
      </c>
    </row>
    <row r="832" spans="1:19" ht="15.75" customHeight="1">
      <c r="A832" s="152" t="str">
        <f>IF(B832&lt;&gt;"",IF(AND(B832='IN-TC'!$S$4,OR(TH!N832="1111",TH!O832="1111")),TH!D832,""),"")</f>
        <v/>
      </c>
      <c r="B832" s="34">
        <f t="shared" si="28"/>
        <v>6</v>
      </c>
      <c r="C832" s="35">
        <f t="shared" si="29"/>
        <v>42527</v>
      </c>
      <c r="D832" s="212"/>
      <c r="E832" s="35">
        <v>42527</v>
      </c>
      <c r="F832" s="144" t="s">
        <v>1466</v>
      </c>
      <c r="G832" s="191" t="s">
        <v>204</v>
      </c>
      <c r="H832" s="198" t="s">
        <v>832</v>
      </c>
      <c r="I832" s="186">
        <v>1138</v>
      </c>
      <c r="J832" s="186">
        <v>15000</v>
      </c>
      <c r="K832" s="185"/>
      <c r="L832" s="186"/>
      <c r="M832" s="36">
        <f>ROUND(I832*J832,0)</f>
        <v>17070000</v>
      </c>
      <c r="N832" s="37" t="s">
        <v>1443</v>
      </c>
      <c r="O832" s="37" t="s">
        <v>8</v>
      </c>
      <c r="P832" s="47" t="str">
        <f>IF(AND('331-CT'!$F$5=TH!H832,OR(N832="331",O832="331")),"x","")</f>
        <v/>
      </c>
      <c r="Q832" s="47" t="str">
        <f>IF(AND(B832='111'!$L$11,OR($N832=$Q$7,$O832=$Q$7)),"x","")</f>
        <v/>
      </c>
      <c r="R832" s="47" t="str">
        <f>IF(AND($N832=$Q$7,$B832&lt;'111'!$L$11),"x","")</f>
        <v/>
      </c>
      <c r="S832" s="47" t="str">
        <f>IF(AND($O832=$Q$7,$B832&lt;'111'!$L$11),"x","")</f>
        <v/>
      </c>
    </row>
    <row r="833" spans="1:19" ht="15.75" customHeight="1">
      <c r="A833" s="152" t="str">
        <f>IF(B833&lt;&gt;"",IF(AND(B833='IN-TC'!$S$4,OR(TH!N833="1111",TH!O833="1111")),TH!D833,""),"")</f>
        <v/>
      </c>
      <c r="B833" s="34">
        <f t="shared" si="28"/>
        <v>6</v>
      </c>
      <c r="C833" s="35">
        <f t="shared" si="29"/>
        <v>42528</v>
      </c>
      <c r="D833" s="212" t="s">
        <v>882</v>
      </c>
      <c r="E833" s="35">
        <v>42528</v>
      </c>
      <c r="F833" s="144" t="s">
        <v>702</v>
      </c>
      <c r="G833" s="191" t="s">
        <v>205</v>
      </c>
      <c r="H833" s="198"/>
      <c r="I833" s="186"/>
      <c r="J833" s="186"/>
      <c r="K833" s="185"/>
      <c r="L833" s="186"/>
      <c r="M833" s="36">
        <v>296000</v>
      </c>
      <c r="N833" s="37"/>
      <c r="O833" s="37" t="s">
        <v>34</v>
      </c>
      <c r="P833" s="47" t="str">
        <f>IF(AND('331-CT'!$F$5=TH!H833,OR(N833="331",O833="331")),"x","")</f>
        <v/>
      </c>
      <c r="Q833" s="47" t="str">
        <f>IF(AND(B833='111'!$L$11,OR($N833=$Q$7,$O833=$Q$7)),"x","")</f>
        <v/>
      </c>
      <c r="R833" s="47" t="str">
        <f>IF(AND($N833=$Q$7,$B833&lt;'111'!$L$11),"x","")</f>
        <v/>
      </c>
      <c r="S833" s="47" t="str">
        <f>IF(AND($O833=$Q$7,$B833&lt;'111'!$L$11),"x","")</f>
        <v>x</v>
      </c>
    </row>
    <row r="834" spans="1:19" ht="15.75" customHeight="1">
      <c r="A834" s="152" t="str">
        <f>IF(B834&lt;&gt;"",IF(AND(B834='IN-TC'!$S$4,OR(TH!N834="1111",TH!O834="1111")),TH!D834,""),"")</f>
        <v/>
      </c>
      <c r="B834" s="34">
        <f t="shared" si="28"/>
        <v>6</v>
      </c>
      <c r="C834" s="35">
        <f t="shared" si="29"/>
        <v>42528</v>
      </c>
      <c r="D834" s="212" t="s">
        <v>883</v>
      </c>
      <c r="E834" s="35">
        <v>42528</v>
      </c>
      <c r="F834" s="144" t="s">
        <v>671</v>
      </c>
      <c r="G834" s="191" t="s">
        <v>207</v>
      </c>
      <c r="H834" s="198"/>
      <c r="I834" s="186"/>
      <c r="J834" s="186"/>
      <c r="K834" s="185"/>
      <c r="L834" s="186"/>
      <c r="M834" s="36">
        <v>500000</v>
      </c>
      <c r="N834" s="37"/>
      <c r="O834" s="37" t="s">
        <v>34</v>
      </c>
      <c r="P834" s="47" t="str">
        <f>IF(AND('331-CT'!$F$5=TH!H834,OR(N834="331",O834="331")),"x","")</f>
        <v/>
      </c>
      <c r="Q834" s="47" t="str">
        <f>IF(AND(B834='111'!$L$11,OR($N834=$Q$7,$O834=$Q$7)),"x","")</f>
        <v/>
      </c>
      <c r="R834" s="47" t="str">
        <f>IF(AND($N834=$Q$7,$B834&lt;'111'!$L$11),"x","")</f>
        <v/>
      </c>
      <c r="S834" s="47" t="str">
        <f>IF(AND($O834=$Q$7,$B834&lt;'111'!$L$11),"x","")</f>
        <v>x</v>
      </c>
    </row>
    <row r="835" spans="1:19" ht="15.75" customHeight="1">
      <c r="A835" s="152" t="str">
        <f>IF(B835&lt;&gt;"",IF(AND(B835='IN-TC'!$S$4,OR(TH!N835="1111",TH!O835="1111")),TH!D835,""),"")</f>
        <v/>
      </c>
      <c r="B835" s="34">
        <f t="shared" si="28"/>
        <v>6</v>
      </c>
      <c r="C835" s="35">
        <f t="shared" si="29"/>
        <v>42529</v>
      </c>
      <c r="D835" s="212" t="s">
        <v>938</v>
      </c>
      <c r="E835" s="35">
        <v>42529</v>
      </c>
      <c r="F835" s="144" t="s">
        <v>186</v>
      </c>
      <c r="G835" s="191" t="s">
        <v>104</v>
      </c>
      <c r="H835" s="198"/>
      <c r="I835" s="186"/>
      <c r="J835" s="186"/>
      <c r="K835" s="185"/>
      <c r="L835" s="186"/>
      <c r="M835" s="36">
        <v>1590000000</v>
      </c>
      <c r="N835" s="37" t="s">
        <v>34</v>
      </c>
      <c r="O835" s="37"/>
      <c r="P835" s="47" t="str">
        <f>IF(AND('331-CT'!$F$5=TH!H835,OR(N835="331",O835="331")),"x","")</f>
        <v/>
      </c>
      <c r="Q835" s="47" t="str">
        <f>IF(AND(B835='111'!$L$11,OR($N835=$Q$7,$O835=$Q$7)),"x","")</f>
        <v/>
      </c>
      <c r="R835" s="47" t="str">
        <f>IF(AND($N835=$Q$7,$B835&lt;'111'!$L$11),"x","")</f>
        <v>x</v>
      </c>
      <c r="S835" s="47" t="str">
        <f>IF(AND($O835=$Q$7,$B835&lt;'111'!$L$11),"x","")</f>
        <v/>
      </c>
    </row>
    <row r="836" spans="1:19" ht="15.75" customHeight="1">
      <c r="A836" s="152" t="str">
        <f>IF(B836&lt;&gt;"",IF(AND(B836='IN-TC'!$S$4,OR(TH!N836="1111",TH!O836="1111")),TH!D836,""),"")</f>
        <v/>
      </c>
      <c r="B836" s="34">
        <f t="shared" si="28"/>
        <v>6</v>
      </c>
      <c r="C836" s="35">
        <f t="shared" si="29"/>
        <v>42529</v>
      </c>
      <c r="D836" s="212" t="s">
        <v>939</v>
      </c>
      <c r="E836" s="35">
        <v>42529</v>
      </c>
      <c r="F836" s="144" t="s">
        <v>186</v>
      </c>
      <c r="G836" s="191" t="s">
        <v>104</v>
      </c>
      <c r="H836" s="198"/>
      <c r="I836" s="186"/>
      <c r="J836" s="186"/>
      <c r="K836" s="185"/>
      <c r="L836" s="186"/>
      <c r="M836" s="36">
        <v>2150000000</v>
      </c>
      <c r="N836" s="37" t="s">
        <v>34</v>
      </c>
      <c r="O836" s="37"/>
      <c r="P836" s="47" t="str">
        <f>IF(AND('331-CT'!$F$5=TH!H836,OR(N836="331",O836="331")),"x","")</f>
        <v/>
      </c>
      <c r="Q836" s="47" t="str">
        <f>IF(AND(B836='111'!$L$11,OR($N836=$Q$7,$O836=$Q$7)),"x","")</f>
        <v/>
      </c>
      <c r="R836" s="47" t="str">
        <f>IF(AND($N836=$Q$7,$B836&lt;'111'!$L$11),"x","")</f>
        <v>x</v>
      </c>
      <c r="S836" s="47" t="str">
        <f>IF(AND($O836=$Q$7,$B836&lt;'111'!$L$11),"x","")</f>
        <v/>
      </c>
    </row>
    <row r="837" spans="1:19" ht="15.75" customHeight="1">
      <c r="A837" s="152" t="str">
        <f>IF(B837&lt;&gt;"",IF(AND(B837='IN-TC'!$S$4,OR(TH!N837="1111",TH!O837="1111")),TH!D837,""),"")</f>
        <v/>
      </c>
      <c r="B837" s="34">
        <f t="shared" si="28"/>
        <v>6</v>
      </c>
      <c r="C837" s="35">
        <f t="shared" si="29"/>
        <v>42529</v>
      </c>
      <c r="D837" s="212" t="s">
        <v>884</v>
      </c>
      <c r="E837" s="35">
        <v>42529</v>
      </c>
      <c r="F837" s="144" t="s">
        <v>262</v>
      </c>
      <c r="G837" s="191" t="s">
        <v>104</v>
      </c>
      <c r="H837" s="198"/>
      <c r="I837" s="186"/>
      <c r="J837" s="186"/>
      <c r="K837" s="185"/>
      <c r="L837" s="186"/>
      <c r="M837" s="36">
        <v>1560000000</v>
      </c>
      <c r="N837" s="37"/>
      <c r="O837" s="37" t="s">
        <v>34</v>
      </c>
      <c r="P837" s="47" t="str">
        <f>IF(AND('331-CT'!$F$5=TH!H837,OR(N837="331",O837="331")),"x","")</f>
        <v/>
      </c>
      <c r="Q837" s="47" t="str">
        <f>IF(AND(B837='111'!$L$11,OR($N837=$Q$7,$O837=$Q$7)),"x","")</f>
        <v/>
      </c>
      <c r="R837" s="47" t="str">
        <f>IF(AND($N837=$Q$7,$B837&lt;'111'!$L$11),"x","")</f>
        <v/>
      </c>
      <c r="S837" s="47" t="str">
        <f>IF(AND($O837=$Q$7,$B837&lt;'111'!$L$11),"x","")</f>
        <v>x</v>
      </c>
    </row>
    <row r="838" spans="1:19" ht="15.75" customHeight="1">
      <c r="A838" s="152" t="str">
        <f>IF(B838&lt;&gt;"",IF(AND(B838='IN-TC'!$S$4,OR(TH!N838="1111",TH!O838="1111")),TH!D838,""),"")</f>
        <v/>
      </c>
      <c r="B838" s="34">
        <f t="shared" si="28"/>
        <v>6</v>
      </c>
      <c r="C838" s="35">
        <f t="shared" si="29"/>
        <v>42529</v>
      </c>
      <c r="D838" s="212" t="s">
        <v>885</v>
      </c>
      <c r="E838" s="35">
        <v>42529</v>
      </c>
      <c r="F838" s="144" t="s">
        <v>288</v>
      </c>
      <c r="G838" s="191" t="s">
        <v>204</v>
      </c>
      <c r="H838" s="198"/>
      <c r="I838" s="186"/>
      <c r="J838" s="186"/>
      <c r="K838" s="185"/>
      <c r="L838" s="186"/>
      <c r="M838" s="36">
        <v>20000000</v>
      </c>
      <c r="N838" s="37"/>
      <c r="O838" s="37" t="s">
        <v>34</v>
      </c>
      <c r="P838" s="47" t="str">
        <f>IF(AND('331-CT'!$F$5=TH!H838,OR(N838="331",O838="331")),"x","")</f>
        <v/>
      </c>
      <c r="Q838" s="47" t="str">
        <f>IF(AND(B838='111'!$L$11,OR($N838=$Q$7,$O838=$Q$7)),"x","")</f>
        <v/>
      </c>
      <c r="R838" s="47" t="str">
        <f>IF(AND($N838=$Q$7,$B838&lt;'111'!$L$11),"x","")</f>
        <v/>
      </c>
      <c r="S838" s="47" t="str">
        <f>IF(AND($O838=$Q$7,$B838&lt;'111'!$L$11),"x","")</f>
        <v>x</v>
      </c>
    </row>
    <row r="839" spans="1:19" ht="15.75" customHeight="1">
      <c r="A839" s="152" t="str">
        <f>IF(B839&lt;&gt;"",IF(AND(B839='IN-TC'!$S$4,OR(TH!N839="1111",TH!O839="1111")),TH!D839,""),"")</f>
        <v/>
      </c>
      <c r="B839" s="34">
        <f t="shared" si="28"/>
        <v>6</v>
      </c>
      <c r="C839" s="35">
        <f t="shared" si="29"/>
        <v>42529</v>
      </c>
      <c r="D839" s="212" t="s">
        <v>886</v>
      </c>
      <c r="E839" s="35">
        <v>42529</v>
      </c>
      <c r="F839" s="144" t="s">
        <v>642</v>
      </c>
      <c r="G839" s="191" t="s">
        <v>207</v>
      </c>
      <c r="H839" s="198"/>
      <c r="I839" s="186"/>
      <c r="J839" s="186"/>
      <c r="K839" s="185"/>
      <c r="L839" s="186"/>
      <c r="M839" s="36">
        <v>10000000</v>
      </c>
      <c r="N839" s="37"/>
      <c r="O839" s="37" t="s">
        <v>34</v>
      </c>
      <c r="P839" s="47" t="str">
        <f>IF(AND('331-CT'!$F$5=TH!H839,OR(N839="331",O839="331")),"x","")</f>
        <v/>
      </c>
      <c r="Q839" s="47" t="str">
        <f>IF(AND(B839='111'!$L$11,OR($N839=$Q$7,$O839=$Q$7)),"x","")</f>
        <v/>
      </c>
      <c r="R839" s="47" t="str">
        <f>IF(AND($N839=$Q$7,$B839&lt;'111'!$L$11),"x","")</f>
        <v/>
      </c>
      <c r="S839" s="47" t="str">
        <f>IF(AND($O839=$Q$7,$B839&lt;'111'!$L$11),"x","")</f>
        <v>x</v>
      </c>
    </row>
    <row r="840" spans="1:19" ht="15.75" customHeight="1">
      <c r="A840" s="152" t="str">
        <f>IF(B840&lt;&gt;"",IF(AND(B840='IN-TC'!$S$4,OR(TH!N840="1111",TH!O840="1111")),TH!D840,""),"")</f>
        <v/>
      </c>
      <c r="B840" s="34">
        <f t="shared" si="28"/>
        <v>6</v>
      </c>
      <c r="C840" s="35">
        <f t="shared" si="29"/>
        <v>42529</v>
      </c>
      <c r="D840" s="212" t="s">
        <v>887</v>
      </c>
      <c r="E840" s="35">
        <v>42529</v>
      </c>
      <c r="F840" s="144" t="s">
        <v>262</v>
      </c>
      <c r="G840" s="191" t="s">
        <v>104</v>
      </c>
      <c r="H840" s="198"/>
      <c r="I840" s="186"/>
      <c r="J840" s="186"/>
      <c r="K840" s="185"/>
      <c r="L840" s="186"/>
      <c r="M840" s="36">
        <v>300000000</v>
      </c>
      <c r="N840" s="37"/>
      <c r="O840" s="37" t="s">
        <v>34</v>
      </c>
      <c r="P840" s="47" t="str">
        <f>IF(AND('331-CT'!$F$5=TH!H840,OR(N840="331",O840="331")),"x","")</f>
        <v/>
      </c>
      <c r="Q840" s="47" t="str">
        <f>IF(AND(B840='111'!$L$11,OR($N840=$Q$7,$O840=$Q$7)),"x","")</f>
        <v/>
      </c>
      <c r="R840" s="47" t="str">
        <f>IF(AND($N840=$Q$7,$B840&lt;'111'!$L$11),"x","")</f>
        <v/>
      </c>
      <c r="S840" s="47" t="str">
        <f>IF(AND($O840=$Q$7,$B840&lt;'111'!$L$11),"x","")</f>
        <v>x</v>
      </c>
    </row>
    <row r="841" spans="1:19" ht="15.75" customHeight="1">
      <c r="A841" s="152" t="str">
        <f>IF(B841&lt;&gt;"",IF(AND(B841='IN-TC'!$S$4,OR(TH!N841="1111",TH!O841="1111")),TH!D841,""),"")</f>
        <v/>
      </c>
      <c r="B841" s="34">
        <f t="shared" si="28"/>
        <v>6</v>
      </c>
      <c r="C841" s="35">
        <f t="shared" si="29"/>
        <v>42529</v>
      </c>
      <c r="D841" s="212" t="s">
        <v>888</v>
      </c>
      <c r="E841" s="35">
        <v>42529</v>
      </c>
      <c r="F841" s="144" t="s">
        <v>703</v>
      </c>
      <c r="G841" s="191" t="s">
        <v>227</v>
      </c>
      <c r="H841" s="198"/>
      <c r="I841" s="186"/>
      <c r="J841" s="186"/>
      <c r="K841" s="185"/>
      <c r="L841" s="186"/>
      <c r="M841" s="36">
        <v>4705000</v>
      </c>
      <c r="N841" s="37"/>
      <c r="O841" s="37" t="s">
        <v>34</v>
      </c>
      <c r="P841" s="47" t="str">
        <f>IF(AND('331-CT'!$F$5=TH!H841,OR(N841="331",O841="331")),"x","")</f>
        <v/>
      </c>
      <c r="Q841" s="47" t="str">
        <f>IF(AND(B841='111'!$L$11,OR($N841=$Q$7,$O841=$Q$7)),"x","")</f>
        <v/>
      </c>
      <c r="R841" s="47" t="str">
        <f>IF(AND($N841=$Q$7,$B841&lt;'111'!$L$11),"x","")</f>
        <v/>
      </c>
      <c r="S841" s="47" t="str">
        <f>IF(AND($O841=$Q$7,$B841&lt;'111'!$L$11),"x","")</f>
        <v>x</v>
      </c>
    </row>
    <row r="842" spans="1:19" ht="15.75" customHeight="1">
      <c r="A842" s="152" t="str">
        <f>IF(B842&lt;&gt;"",IF(AND(B842='IN-TC'!$S$4,OR(TH!N842="1111",TH!O842="1111")),TH!D842,""),"")</f>
        <v/>
      </c>
      <c r="B842" s="34">
        <f t="shared" si="28"/>
        <v>6</v>
      </c>
      <c r="C842" s="35">
        <f t="shared" si="29"/>
        <v>42530</v>
      </c>
      <c r="D842" s="212" t="s">
        <v>930</v>
      </c>
      <c r="E842" s="35">
        <v>42530</v>
      </c>
      <c r="F842" s="144" t="s">
        <v>187</v>
      </c>
      <c r="G842" s="191" t="s">
        <v>105</v>
      </c>
      <c r="H842" s="198" t="s">
        <v>813</v>
      </c>
      <c r="I842" s="186"/>
      <c r="J842" s="186"/>
      <c r="K842" s="185"/>
      <c r="L842" s="186"/>
      <c r="M842" s="36">
        <v>500000000</v>
      </c>
      <c r="N842" s="37" t="s">
        <v>34</v>
      </c>
      <c r="O842" s="37" t="s">
        <v>812</v>
      </c>
      <c r="P842" s="47" t="str">
        <f>IF(AND('331-CT'!$F$5=TH!H842,OR(N842="331",O842="331")),"x","")</f>
        <v/>
      </c>
      <c r="Q842" s="47" t="str">
        <f>IF(AND(B842='111'!$L$11,OR($N842=$Q$7,$O842=$Q$7)),"x","")</f>
        <v/>
      </c>
      <c r="R842" s="47" t="str">
        <f>IF(AND($N842=$Q$7,$B842&lt;'111'!$L$11),"x","")</f>
        <v>x</v>
      </c>
      <c r="S842" s="47" t="str">
        <f>IF(AND($O842=$Q$7,$B842&lt;'111'!$L$11),"x","")</f>
        <v/>
      </c>
    </row>
    <row r="843" spans="1:19" ht="15.75" customHeight="1">
      <c r="A843" s="152" t="str">
        <f>IF(B843&lt;&gt;"",IF(AND(B843='IN-TC'!$S$4,OR(TH!N843="1111",TH!O843="1111")),TH!D843,""),"")</f>
        <v/>
      </c>
      <c r="B843" s="34">
        <f t="shared" si="28"/>
        <v>6</v>
      </c>
      <c r="C843" s="35">
        <f t="shared" si="29"/>
        <v>42530</v>
      </c>
      <c r="D843" s="212" t="s">
        <v>889</v>
      </c>
      <c r="E843" s="35">
        <v>42530</v>
      </c>
      <c r="F843" s="144" t="s">
        <v>704</v>
      </c>
      <c r="G843" s="191" t="s">
        <v>105</v>
      </c>
      <c r="H843" s="198" t="s">
        <v>1416</v>
      </c>
      <c r="I843" s="186"/>
      <c r="J843" s="186"/>
      <c r="K843" s="185"/>
      <c r="L843" s="186"/>
      <c r="M843" s="36">
        <v>200000000</v>
      </c>
      <c r="N843" s="37" t="s">
        <v>812</v>
      </c>
      <c r="O843" s="37" t="s">
        <v>34</v>
      </c>
      <c r="P843" s="47" t="str">
        <f>IF(AND('331-CT'!$F$5=TH!H843,OR(N843="331",O843="331")),"x","")</f>
        <v/>
      </c>
      <c r="Q843" s="47" t="str">
        <f>IF(AND(B843='111'!$L$11,OR($N843=$Q$7,$O843=$Q$7)),"x","")</f>
        <v/>
      </c>
      <c r="R843" s="47" t="str">
        <f>IF(AND($N843=$Q$7,$B843&lt;'111'!$L$11),"x","")</f>
        <v/>
      </c>
      <c r="S843" s="47" t="str">
        <f>IF(AND($O843=$Q$7,$B843&lt;'111'!$L$11),"x","")</f>
        <v>x</v>
      </c>
    </row>
    <row r="844" spans="1:19" ht="15.75" customHeight="1">
      <c r="A844" s="152" t="str">
        <f>IF(B844&lt;&gt;"",IF(AND(B844='IN-TC'!$S$4,OR(TH!N844="1111",TH!O844="1111")),TH!D844,""),"")</f>
        <v/>
      </c>
      <c r="B844" s="34">
        <f t="shared" si="28"/>
        <v>6</v>
      </c>
      <c r="C844" s="35">
        <f t="shared" si="29"/>
        <v>42530</v>
      </c>
      <c r="D844" s="212" t="s">
        <v>890</v>
      </c>
      <c r="E844" s="35">
        <v>42530</v>
      </c>
      <c r="F844" s="144" t="s">
        <v>705</v>
      </c>
      <c r="G844" s="191" t="s">
        <v>105</v>
      </c>
      <c r="H844" s="198" t="s">
        <v>1414</v>
      </c>
      <c r="I844" s="186"/>
      <c r="J844" s="186"/>
      <c r="K844" s="185"/>
      <c r="L844" s="186"/>
      <c r="M844" s="36">
        <v>200000000</v>
      </c>
      <c r="N844" s="37" t="s">
        <v>812</v>
      </c>
      <c r="O844" s="37" t="s">
        <v>34</v>
      </c>
      <c r="P844" s="47" t="str">
        <f>IF(AND('331-CT'!$F$5=TH!H844,OR(N844="331",O844="331")),"x","")</f>
        <v/>
      </c>
      <c r="Q844" s="47" t="str">
        <f>IF(AND(B844='111'!$L$11,OR($N844=$Q$7,$O844=$Q$7)),"x","")</f>
        <v/>
      </c>
      <c r="R844" s="47" t="str">
        <f>IF(AND($N844=$Q$7,$B844&lt;'111'!$L$11),"x","")</f>
        <v/>
      </c>
      <c r="S844" s="47" t="str">
        <f>IF(AND($O844=$Q$7,$B844&lt;'111'!$L$11),"x","")</f>
        <v>x</v>
      </c>
    </row>
    <row r="845" spans="1:19" ht="15.75" customHeight="1">
      <c r="A845" s="152" t="str">
        <f>IF(B845&lt;&gt;"",IF(AND(B845='IN-TC'!$S$4,OR(TH!N845="1111",TH!O845="1111")),TH!D845,""),"")</f>
        <v/>
      </c>
      <c r="B845" s="34">
        <f t="shared" ref="B845:B908" si="30">IF(C845&lt;&gt;"",MONTH(C845),"")</f>
        <v>6</v>
      </c>
      <c r="C845" s="35">
        <f t="shared" ref="C845:C908" si="31">E845</f>
        <v>42530</v>
      </c>
      <c r="D845" s="212" t="s">
        <v>890</v>
      </c>
      <c r="E845" s="35">
        <v>42530</v>
      </c>
      <c r="F845" s="144" t="s">
        <v>705</v>
      </c>
      <c r="G845" s="191" t="s">
        <v>203</v>
      </c>
      <c r="H845" s="198" t="s">
        <v>1414</v>
      </c>
      <c r="I845" s="186"/>
      <c r="J845" s="186"/>
      <c r="K845" s="185"/>
      <c r="L845" s="186"/>
      <c r="M845" s="36">
        <v>7000000</v>
      </c>
      <c r="N845" s="37" t="s">
        <v>814</v>
      </c>
      <c r="O845" s="37" t="s">
        <v>34</v>
      </c>
      <c r="P845" s="47" t="str">
        <f>IF(AND('331-CT'!$F$5=TH!H845,OR(N845="331",O845="331")),"x","")</f>
        <v/>
      </c>
      <c r="Q845" s="47" t="str">
        <f>IF(AND(B845='111'!$L$11,OR($N845=$Q$7,$O845=$Q$7)),"x","")</f>
        <v/>
      </c>
      <c r="R845" s="47" t="str">
        <f>IF(AND($N845=$Q$7,$B845&lt;'111'!$L$11),"x","")</f>
        <v/>
      </c>
      <c r="S845" s="47" t="str">
        <f>IF(AND($O845=$Q$7,$B845&lt;'111'!$L$11),"x","")</f>
        <v>x</v>
      </c>
    </row>
    <row r="846" spans="1:19" ht="15.75" customHeight="1">
      <c r="A846" s="152" t="str">
        <f>IF(B846&lt;&gt;"",IF(AND(B846='IN-TC'!$S$4,OR(TH!N846="1111",TH!O846="1111")),TH!D846,""),"")</f>
        <v/>
      </c>
      <c r="B846" s="34">
        <f t="shared" si="30"/>
        <v>6</v>
      </c>
      <c r="C846" s="35">
        <f t="shared" si="31"/>
        <v>42530</v>
      </c>
      <c r="D846" s="212" t="s">
        <v>891</v>
      </c>
      <c r="E846" s="35">
        <v>42530</v>
      </c>
      <c r="F846" s="144" t="s">
        <v>178</v>
      </c>
      <c r="G846" s="191" t="s">
        <v>105</v>
      </c>
      <c r="H846" s="198" t="s">
        <v>1434</v>
      </c>
      <c r="I846" s="186"/>
      <c r="J846" s="186"/>
      <c r="K846" s="185"/>
      <c r="L846" s="186"/>
      <c r="M846" s="36">
        <v>40000000</v>
      </c>
      <c r="N846" s="37" t="s">
        <v>812</v>
      </c>
      <c r="O846" s="37" t="s">
        <v>34</v>
      </c>
      <c r="P846" s="47" t="str">
        <f>IF(AND('331-CT'!$F$5=TH!H846,OR(N846="331",O846="331")),"x","")</f>
        <v/>
      </c>
      <c r="Q846" s="47" t="str">
        <f>IF(AND(B846='111'!$L$11,OR($N846=$Q$7,$O846=$Q$7)),"x","")</f>
        <v/>
      </c>
      <c r="R846" s="47" t="str">
        <f>IF(AND($N846=$Q$7,$B846&lt;'111'!$L$11),"x","")</f>
        <v/>
      </c>
      <c r="S846" s="47" t="str">
        <f>IF(AND($O846=$Q$7,$B846&lt;'111'!$L$11),"x","")</f>
        <v>x</v>
      </c>
    </row>
    <row r="847" spans="1:19" ht="15.75" customHeight="1">
      <c r="A847" s="152" t="str">
        <f>IF(B847&lt;&gt;"",IF(AND(B847='IN-TC'!$S$4,OR(TH!N847="1111",TH!O847="1111")),TH!D847,""),"")</f>
        <v/>
      </c>
      <c r="B847" s="34">
        <f t="shared" si="30"/>
        <v>6</v>
      </c>
      <c r="C847" s="35">
        <f t="shared" si="31"/>
        <v>42530</v>
      </c>
      <c r="D847" s="212" t="s">
        <v>892</v>
      </c>
      <c r="E847" s="35">
        <v>42530</v>
      </c>
      <c r="F847" s="144" t="s">
        <v>1382</v>
      </c>
      <c r="G847" s="191" t="s">
        <v>203</v>
      </c>
      <c r="H847" s="198" t="s">
        <v>1067</v>
      </c>
      <c r="I847" s="186"/>
      <c r="J847" s="186"/>
      <c r="K847" s="185"/>
      <c r="L847" s="186"/>
      <c r="M847" s="36">
        <v>10500000</v>
      </c>
      <c r="N847" s="37" t="s">
        <v>814</v>
      </c>
      <c r="O847" s="37" t="s">
        <v>34</v>
      </c>
      <c r="P847" s="47" t="str">
        <f>IF(AND('331-CT'!$F$5=TH!H847,OR(N847="331",O847="331")),"x","")</f>
        <v/>
      </c>
      <c r="Q847" s="47" t="str">
        <f>IF(AND(B847='111'!$L$11,OR($N847=$Q$7,$O847=$Q$7)),"x","")</f>
        <v/>
      </c>
      <c r="R847" s="47" t="str">
        <f>IF(AND($N847=$Q$7,$B847&lt;'111'!$L$11),"x","")</f>
        <v/>
      </c>
      <c r="S847" s="47" t="str">
        <f>IF(AND($O847=$Q$7,$B847&lt;'111'!$L$11),"x","")</f>
        <v>x</v>
      </c>
    </row>
    <row r="848" spans="1:19" ht="15.75" customHeight="1">
      <c r="A848" s="152" t="str">
        <f>IF(B848&lt;&gt;"",IF(AND(B848='IN-TC'!$S$4,OR(TH!N848="1111",TH!O848="1111")),TH!D848,""),"")</f>
        <v/>
      </c>
      <c r="B848" s="34">
        <f t="shared" si="30"/>
        <v>6</v>
      </c>
      <c r="C848" s="35">
        <f t="shared" si="31"/>
        <v>42530</v>
      </c>
      <c r="D848" s="212" t="s">
        <v>893</v>
      </c>
      <c r="E848" s="35">
        <v>42530</v>
      </c>
      <c r="F848" s="144" t="s">
        <v>602</v>
      </c>
      <c r="G848" s="191" t="s">
        <v>206</v>
      </c>
      <c r="H848" s="198" t="s">
        <v>831</v>
      </c>
      <c r="I848" s="186"/>
      <c r="J848" s="186"/>
      <c r="K848" s="185"/>
      <c r="L848" s="186"/>
      <c r="M848" s="36">
        <v>100000000</v>
      </c>
      <c r="N848" s="37" t="s">
        <v>8</v>
      </c>
      <c r="O848" s="37" t="s">
        <v>34</v>
      </c>
      <c r="P848" s="47" t="str">
        <f>IF(AND('331-CT'!$F$5=TH!H848,OR(N848="331",O848="331")),"x","")</f>
        <v/>
      </c>
      <c r="Q848" s="47" t="str">
        <f>IF(AND(B848='111'!$L$11,OR($N848=$Q$7,$O848=$Q$7)),"x","")</f>
        <v/>
      </c>
      <c r="R848" s="47" t="str">
        <f>IF(AND($N848=$Q$7,$B848&lt;'111'!$L$11),"x","")</f>
        <v/>
      </c>
      <c r="S848" s="47" t="str">
        <f>IF(AND($O848=$Q$7,$B848&lt;'111'!$L$11),"x","")</f>
        <v>x</v>
      </c>
    </row>
    <row r="849" spans="1:19" ht="15.75" customHeight="1">
      <c r="A849" s="152" t="str">
        <f>IF(B849&lt;&gt;"",IF(AND(B849='IN-TC'!$S$4,OR(TH!N849="1111",TH!O849="1111")),TH!D849,""),"")</f>
        <v/>
      </c>
      <c r="B849" s="34">
        <f t="shared" si="30"/>
        <v>6</v>
      </c>
      <c r="C849" s="35">
        <f t="shared" si="31"/>
        <v>42530</v>
      </c>
      <c r="D849" s="212" t="s">
        <v>894</v>
      </c>
      <c r="E849" s="35">
        <v>42530</v>
      </c>
      <c r="F849" s="144" t="s">
        <v>299</v>
      </c>
      <c r="G849" s="191" t="s">
        <v>206</v>
      </c>
      <c r="H849" s="198" t="s">
        <v>846</v>
      </c>
      <c r="I849" s="186"/>
      <c r="J849" s="186"/>
      <c r="K849" s="185"/>
      <c r="L849" s="186"/>
      <c r="M849" s="36">
        <v>100000000</v>
      </c>
      <c r="N849" s="37" t="s">
        <v>8</v>
      </c>
      <c r="O849" s="37" t="s">
        <v>34</v>
      </c>
      <c r="P849" s="47" t="str">
        <f>IF(AND('331-CT'!$F$5=TH!H849,OR(N849="331",O849="331")),"x","")</f>
        <v/>
      </c>
      <c r="Q849" s="47" t="str">
        <f>IF(AND(B849='111'!$L$11,OR($N849=$Q$7,$O849=$Q$7)),"x","")</f>
        <v/>
      </c>
      <c r="R849" s="47" t="str">
        <f>IF(AND($N849=$Q$7,$B849&lt;'111'!$L$11),"x","")</f>
        <v/>
      </c>
      <c r="S849" s="47" t="str">
        <f>IF(AND($O849=$Q$7,$B849&lt;'111'!$L$11),"x","")</f>
        <v>x</v>
      </c>
    </row>
    <row r="850" spans="1:19" ht="15.75" customHeight="1">
      <c r="A850" s="152" t="str">
        <f>IF(B850&lt;&gt;"",IF(AND(B850='IN-TC'!$S$4,OR(TH!N850="1111",TH!O850="1111")),TH!D850,""),"")</f>
        <v/>
      </c>
      <c r="B850" s="34">
        <f t="shared" si="30"/>
        <v>6</v>
      </c>
      <c r="C850" s="35">
        <f t="shared" si="31"/>
        <v>42530</v>
      </c>
      <c r="D850" s="212" t="s">
        <v>895</v>
      </c>
      <c r="E850" s="35">
        <v>42530</v>
      </c>
      <c r="F850" s="144" t="s">
        <v>706</v>
      </c>
      <c r="G850" s="191" t="s">
        <v>206</v>
      </c>
      <c r="H850" s="198" t="s">
        <v>820</v>
      </c>
      <c r="I850" s="186"/>
      <c r="J850" s="186"/>
      <c r="K850" s="185"/>
      <c r="L850" s="186"/>
      <c r="M850" s="36">
        <v>336000000</v>
      </c>
      <c r="N850" s="37" t="s">
        <v>8</v>
      </c>
      <c r="O850" s="37" t="s">
        <v>34</v>
      </c>
      <c r="P850" s="47" t="str">
        <f>IF(AND('331-CT'!$F$5=TH!H850,OR(N850="331",O850="331")),"x","")</f>
        <v/>
      </c>
      <c r="Q850" s="47" t="str">
        <f>IF(AND(B850='111'!$L$11,OR($N850=$Q$7,$O850=$Q$7)),"x","")</f>
        <v/>
      </c>
      <c r="R850" s="47" t="str">
        <f>IF(AND($N850=$Q$7,$B850&lt;'111'!$L$11),"x","")</f>
        <v/>
      </c>
      <c r="S850" s="47" t="str">
        <f>IF(AND($O850=$Q$7,$B850&lt;'111'!$L$11),"x","")</f>
        <v>x</v>
      </c>
    </row>
    <row r="851" spans="1:19" ht="15.75" customHeight="1">
      <c r="A851" s="152" t="str">
        <f>IF(B851&lt;&gt;"",IF(AND(B851='IN-TC'!$S$4,OR(TH!N851="1111",TH!O851="1111")),TH!D851,""),"")</f>
        <v/>
      </c>
      <c r="B851" s="34">
        <f t="shared" si="30"/>
        <v>6</v>
      </c>
      <c r="C851" s="35">
        <f t="shared" si="31"/>
        <v>42530</v>
      </c>
      <c r="D851" s="212" t="s">
        <v>896</v>
      </c>
      <c r="E851" s="35">
        <v>42530</v>
      </c>
      <c r="F851" s="144" t="s">
        <v>239</v>
      </c>
      <c r="G851" s="191" t="s">
        <v>113</v>
      </c>
      <c r="H851" s="198"/>
      <c r="I851" s="186"/>
      <c r="J851" s="186"/>
      <c r="K851" s="185"/>
      <c r="L851" s="186"/>
      <c r="M851" s="36">
        <v>100000000</v>
      </c>
      <c r="N851" s="37"/>
      <c r="O851" s="37" t="s">
        <v>34</v>
      </c>
      <c r="P851" s="47" t="str">
        <f>IF(AND('331-CT'!$F$5=TH!H851,OR(N851="331",O851="331")),"x","")</f>
        <v/>
      </c>
      <c r="Q851" s="47" t="str">
        <f>IF(AND(B851='111'!$L$11,OR($N851=$Q$7,$O851=$Q$7)),"x","")</f>
        <v/>
      </c>
      <c r="R851" s="47" t="str">
        <f>IF(AND($N851=$Q$7,$B851&lt;'111'!$L$11),"x","")</f>
        <v/>
      </c>
      <c r="S851" s="47" t="str">
        <f>IF(AND($O851=$Q$7,$B851&lt;'111'!$L$11),"x","")</f>
        <v>x</v>
      </c>
    </row>
    <row r="852" spans="1:19" ht="15.75" customHeight="1">
      <c r="A852" s="152" t="str">
        <f>IF(B852&lt;&gt;"",IF(AND(B852='IN-TC'!$S$4,OR(TH!N852="1111",TH!O852="1111")),TH!D852,""),"")</f>
        <v/>
      </c>
      <c r="B852" s="34">
        <f t="shared" si="30"/>
        <v>6</v>
      </c>
      <c r="C852" s="35">
        <f t="shared" si="31"/>
        <v>42530</v>
      </c>
      <c r="D852" s="212" t="s">
        <v>897</v>
      </c>
      <c r="E852" s="35">
        <v>42530</v>
      </c>
      <c r="F852" s="144" t="s">
        <v>1388</v>
      </c>
      <c r="G852" s="191" t="s">
        <v>203</v>
      </c>
      <c r="H852" s="198" t="s">
        <v>1418</v>
      </c>
      <c r="I852" s="186"/>
      <c r="J852" s="186"/>
      <c r="K852" s="185"/>
      <c r="L852" s="186"/>
      <c r="M852" s="36">
        <v>16500000</v>
      </c>
      <c r="N852" s="37" t="s">
        <v>814</v>
      </c>
      <c r="O852" s="37" t="s">
        <v>34</v>
      </c>
      <c r="P852" s="47" t="str">
        <f>IF(AND('331-CT'!$F$5=TH!H852,OR(N852="331",O852="331")),"x","")</f>
        <v/>
      </c>
      <c r="Q852" s="47" t="str">
        <f>IF(AND(B852='111'!$L$11,OR($N852=$Q$7,$O852=$Q$7)),"x","")</f>
        <v/>
      </c>
      <c r="R852" s="47" t="str">
        <f>IF(AND($N852=$Q$7,$B852&lt;'111'!$L$11),"x","")</f>
        <v/>
      </c>
      <c r="S852" s="47" t="str">
        <f>IF(AND($O852=$Q$7,$B852&lt;'111'!$L$11),"x","")</f>
        <v>x</v>
      </c>
    </row>
    <row r="853" spans="1:19" ht="15.75" customHeight="1">
      <c r="A853" s="152" t="str">
        <f>IF(B853&lt;&gt;"",IF(AND(B853='IN-TC'!$S$4,OR(TH!N853="1111",TH!O853="1111")),TH!D853,""),"")</f>
        <v/>
      </c>
      <c r="B853" s="34">
        <f t="shared" si="30"/>
        <v>6</v>
      </c>
      <c r="C853" s="35">
        <f t="shared" si="31"/>
        <v>42530</v>
      </c>
      <c r="D853" s="212" t="s">
        <v>898</v>
      </c>
      <c r="E853" s="35">
        <v>42530</v>
      </c>
      <c r="F853" s="144" t="s">
        <v>707</v>
      </c>
      <c r="G853" s="191" t="s">
        <v>216</v>
      </c>
      <c r="H853" s="198"/>
      <c r="I853" s="186"/>
      <c r="J853" s="186"/>
      <c r="K853" s="185"/>
      <c r="L853" s="186"/>
      <c r="M853" s="36">
        <v>500000</v>
      </c>
      <c r="N853" s="37"/>
      <c r="O853" s="37" t="s">
        <v>34</v>
      </c>
      <c r="P853" s="47" t="str">
        <f>IF(AND('331-CT'!$F$5=TH!H853,OR(N853="331",O853="331")),"x","")</f>
        <v/>
      </c>
      <c r="Q853" s="47" t="str">
        <f>IF(AND(B853='111'!$L$11,OR($N853=$Q$7,$O853=$Q$7)),"x","")</f>
        <v/>
      </c>
      <c r="R853" s="47" t="str">
        <f>IF(AND($N853=$Q$7,$B853&lt;'111'!$L$11),"x","")</f>
        <v/>
      </c>
      <c r="S853" s="47" t="str">
        <f>IF(AND($O853=$Q$7,$B853&lt;'111'!$L$11),"x","")</f>
        <v>x</v>
      </c>
    </row>
    <row r="854" spans="1:19" ht="15.75" customHeight="1">
      <c r="A854" s="152" t="str">
        <f>IF(B854&lt;&gt;"",IF(AND(B854='IN-TC'!$S$4,OR(TH!N854="1111",TH!O854="1111")),TH!D854,""),"")</f>
        <v/>
      </c>
      <c r="B854" s="34">
        <f t="shared" si="30"/>
        <v>6</v>
      </c>
      <c r="C854" s="35">
        <f t="shared" si="31"/>
        <v>42530</v>
      </c>
      <c r="D854" s="212" t="s">
        <v>899</v>
      </c>
      <c r="E854" s="35">
        <v>42530</v>
      </c>
      <c r="F854" s="144" t="s">
        <v>708</v>
      </c>
      <c r="G854" s="191" t="s">
        <v>205</v>
      </c>
      <c r="H854" s="198"/>
      <c r="I854" s="186"/>
      <c r="J854" s="186"/>
      <c r="K854" s="185"/>
      <c r="L854" s="186"/>
      <c r="M854" s="36">
        <v>1000000</v>
      </c>
      <c r="N854" s="37"/>
      <c r="O854" s="37" t="s">
        <v>34</v>
      </c>
      <c r="P854" s="47" t="str">
        <f>IF(AND('331-CT'!$F$5=TH!H854,OR(N854="331",O854="331")),"x","")</f>
        <v/>
      </c>
      <c r="Q854" s="47" t="str">
        <f>IF(AND(B854='111'!$L$11,OR($N854=$Q$7,$O854=$Q$7)),"x","")</f>
        <v/>
      </c>
      <c r="R854" s="47" t="str">
        <f>IF(AND($N854=$Q$7,$B854&lt;'111'!$L$11),"x","")</f>
        <v/>
      </c>
      <c r="S854" s="47" t="str">
        <f>IF(AND($O854=$Q$7,$B854&lt;'111'!$L$11),"x","")</f>
        <v>x</v>
      </c>
    </row>
    <row r="855" spans="1:19" ht="15.75" customHeight="1">
      <c r="A855" s="152" t="str">
        <f>IF(B855&lt;&gt;"",IF(AND(B855='IN-TC'!$S$4,OR(TH!N855="1111",TH!O855="1111")),TH!D855,""),"")</f>
        <v/>
      </c>
      <c r="B855" s="34">
        <f t="shared" si="30"/>
        <v>6</v>
      </c>
      <c r="C855" s="35">
        <f t="shared" si="31"/>
        <v>42530</v>
      </c>
      <c r="D855" s="212" t="s">
        <v>900</v>
      </c>
      <c r="E855" s="35">
        <v>42530</v>
      </c>
      <c r="F855" s="144" t="s">
        <v>262</v>
      </c>
      <c r="G855" s="191" t="s">
        <v>104</v>
      </c>
      <c r="H855" s="198"/>
      <c r="I855" s="186"/>
      <c r="J855" s="186"/>
      <c r="K855" s="185"/>
      <c r="L855" s="186"/>
      <c r="M855" s="36">
        <v>500000000</v>
      </c>
      <c r="N855" s="37"/>
      <c r="O855" s="37" t="s">
        <v>34</v>
      </c>
      <c r="P855" s="47" t="str">
        <f>IF(AND('331-CT'!$F$5=TH!H855,OR(N855="331",O855="331")),"x","")</f>
        <v/>
      </c>
      <c r="Q855" s="47" t="str">
        <f>IF(AND(B855='111'!$L$11,OR($N855=$Q$7,$O855=$Q$7)),"x","")</f>
        <v/>
      </c>
      <c r="R855" s="47" t="str">
        <f>IF(AND($N855=$Q$7,$B855&lt;'111'!$L$11),"x","")</f>
        <v/>
      </c>
      <c r="S855" s="47" t="str">
        <f>IF(AND($O855=$Q$7,$B855&lt;'111'!$L$11),"x","")</f>
        <v>x</v>
      </c>
    </row>
    <row r="856" spans="1:19" ht="15.75" customHeight="1">
      <c r="A856" s="152" t="str">
        <f>IF(B856&lt;&gt;"",IF(AND(B856='IN-TC'!$S$4,OR(TH!N856="1111",TH!O856="1111")),TH!D856,""),"")</f>
        <v/>
      </c>
      <c r="B856" s="34">
        <f t="shared" si="30"/>
        <v>6</v>
      </c>
      <c r="C856" s="35">
        <f t="shared" si="31"/>
        <v>42530</v>
      </c>
      <c r="D856" s="212" t="s">
        <v>901</v>
      </c>
      <c r="E856" s="35">
        <v>42530</v>
      </c>
      <c r="F856" s="144" t="s">
        <v>187</v>
      </c>
      <c r="G856" s="191" t="s">
        <v>105</v>
      </c>
      <c r="H856" s="198" t="s">
        <v>813</v>
      </c>
      <c r="I856" s="186"/>
      <c r="J856" s="186"/>
      <c r="K856" s="185"/>
      <c r="L856" s="186"/>
      <c r="M856" s="36">
        <v>505000000</v>
      </c>
      <c r="N856" s="37" t="s">
        <v>812</v>
      </c>
      <c r="O856" s="37" t="s">
        <v>34</v>
      </c>
      <c r="P856" s="47" t="str">
        <f>IF(AND('331-CT'!$F$5=TH!H856,OR(N856="331",O856="331")),"x","")</f>
        <v/>
      </c>
      <c r="Q856" s="47" t="str">
        <f>IF(AND(B856='111'!$L$11,OR($N856=$Q$7,$O856=$Q$7)),"x","")</f>
        <v/>
      </c>
      <c r="R856" s="47" t="str">
        <f>IF(AND($N856=$Q$7,$B856&lt;'111'!$L$11),"x","")</f>
        <v/>
      </c>
      <c r="S856" s="47" t="str">
        <f>IF(AND($O856=$Q$7,$B856&lt;'111'!$L$11),"x","")</f>
        <v>x</v>
      </c>
    </row>
    <row r="857" spans="1:19" ht="15.75" customHeight="1">
      <c r="A857" s="152" t="str">
        <f>IF(B857&lt;&gt;"",IF(AND(B857='IN-TC'!$S$4,OR(TH!N857="1111",TH!O857="1111")),TH!D857,""),"")</f>
        <v/>
      </c>
      <c r="B857" s="34">
        <f t="shared" si="30"/>
        <v>6</v>
      </c>
      <c r="C857" s="35">
        <f t="shared" si="31"/>
        <v>42530</v>
      </c>
      <c r="D857" s="212"/>
      <c r="E857" s="35">
        <v>42530</v>
      </c>
      <c r="F857" s="144" t="s">
        <v>1467</v>
      </c>
      <c r="G857" s="191"/>
      <c r="H857" s="198" t="s">
        <v>831</v>
      </c>
      <c r="I857" s="186">
        <v>980</v>
      </c>
      <c r="J857" s="186">
        <v>13000</v>
      </c>
      <c r="K857" s="185"/>
      <c r="L857" s="186"/>
      <c r="M857" s="36">
        <f>ROUND(I857*J857,0)</f>
        <v>12740000</v>
      </c>
      <c r="N857" s="37" t="s">
        <v>1443</v>
      </c>
      <c r="O857" s="37" t="s">
        <v>8</v>
      </c>
      <c r="P857" s="47" t="str">
        <f>IF(AND('331-CT'!$F$5=TH!H857,OR(N857="331",O857="331")),"x","")</f>
        <v/>
      </c>
      <c r="Q857" s="47" t="str">
        <f>IF(AND(B857='111'!$L$11,OR($N857=$Q$7,$O857=$Q$7)),"x","")</f>
        <v/>
      </c>
      <c r="R857" s="47" t="str">
        <f>IF(AND($N857=$Q$7,$B857&lt;'111'!$L$11),"x","")</f>
        <v/>
      </c>
      <c r="S857" s="47" t="str">
        <f>IF(AND($O857=$Q$7,$B857&lt;'111'!$L$11),"x","")</f>
        <v/>
      </c>
    </row>
    <row r="858" spans="1:19" ht="15.75" customHeight="1">
      <c r="A858" s="152" t="str">
        <f>IF(B858&lt;&gt;"",IF(AND(B858='IN-TC'!$S$4,OR(TH!N858="1111",TH!O858="1111")),TH!D858,""),"")</f>
        <v/>
      </c>
      <c r="B858" s="34">
        <f t="shared" si="30"/>
        <v>6</v>
      </c>
      <c r="C858" s="35">
        <f t="shared" si="31"/>
        <v>42530</v>
      </c>
      <c r="D858" s="212"/>
      <c r="E858" s="35">
        <v>42530</v>
      </c>
      <c r="F858" s="144" t="s">
        <v>1466</v>
      </c>
      <c r="G858" s="191"/>
      <c r="H858" s="198" t="s">
        <v>840</v>
      </c>
      <c r="I858" s="186">
        <v>2540</v>
      </c>
      <c r="J858" s="186">
        <v>15000</v>
      </c>
      <c r="K858" s="185"/>
      <c r="L858" s="186"/>
      <c r="M858" s="36">
        <f>ROUND(I858*J858,0)</f>
        <v>38100000</v>
      </c>
      <c r="N858" s="37" t="s">
        <v>1443</v>
      </c>
      <c r="O858" s="37" t="s">
        <v>8</v>
      </c>
      <c r="P858" s="47" t="str">
        <f>IF(AND('331-CT'!$F$5=TH!H858,OR(N858="331",O858="331")),"x","")</f>
        <v/>
      </c>
      <c r="Q858" s="47" t="str">
        <f>IF(AND(B858='111'!$L$11,OR($N858=$Q$7,$O858=$Q$7)),"x","")</f>
        <v/>
      </c>
      <c r="R858" s="47" t="str">
        <f>IF(AND($N858=$Q$7,$B858&lt;'111'!$L$11),"x","")</f>
        <v/>
      </c>
      <c r="S858" s="47" t="str">
        <f>IF(AND($O858=$Q$7,$B858&lt;'111'!$L$11),"x","")</f>
        <v/>
      </c>
    </row>
    <row r="859" spans="1:19" ht="15.75" customHeight="1">
      <c r="A859" s="152" t="str">
        <f>IF(B859&lt;&gt;"",IF(AND(B859='IN-TC'!$S$4,OR(TH!N859="1111",TH!O859="1111")),TH!D859,""),"")</f>
        <v/>
      </c>
      <c r="B859" s="34">
        <f t="shared" si="30"/>
        <v>6</v>
      </c>
      <c r="C859" s="35">
        <f t="shared" si="31"/>
        <v>42531</v>
      </c>
      <c r="D859" s="212" t="s">
        <v>1012</v>
      </c>
      <c r="E859" s="35">
        <v>42531</v>
      </c>
      <c r="F859" s="144" t="s">
        <v>177</v>
      </c>
      <c r="G859" s="191" t="s">
        <v>104</v>
      </c>
      <c r="H859" s="198"/>
      <c r="I859" s="186"/>
      <c r="J859" s="186"/>
      <c r="K859" s="185"/>
      <c r="L859" s="186"/>
      <c r="M859" s="36">
        <v>300000000</v>
      </c>
      <c r="N859" s="37" t="s">
        <v>34</v>
      </c>
      <c r="O859" s="37"/>
      <c r="P859" s="47" t="str">
        <f>IF(AND('331-CT'!$F$5=TH!H859,OR(N859="331",O859="331")),"x","")</f>
        <v/>
      </c>
      <c r="Q859" s="47" t="str">
        <f>IF(AND(B859='111'!$L$11,OR($N859=$Q$7,$O859=$Q$7)),"x","")</f>
        <v/>
      </c>
      <c r="R859" s="47" t="str">
        <f>IF(AND($N859=$Q$7,$B859&lt;'111'!$L$11),"x","")</f>
        <v>x</v>
      </c>
      <c r="S859" s="47" t="str">
        <f>IF(AND($O859=$Q$7,$B859&lt;'111'!$L$11),"x","")</f>
        <v/>
      </c>
    </row>
    <row r="860" spans="1:19" ht="15.75" customHeight="1">
      <c r="A860" s="152" t="str">
        <f>IF(B860&lt;&gt;"",IF(AND(B860='IN-TC'!$S$4,OR(TH!N860="1111",TH!O860="1111")),TH!D860,""),"")</f>
        <v/>
      </c>
      <c r="B860" s="34">
        <f t="shared" si="30"/>
        <v>6</v>
      </c>
      <c r="C860" s="35">
        <f t="shared" si="31"/>
        <v>42531</v>
      </c>
      <c r="D860" s="212" t="s">
        <v>902</v>
      </c>
      <c r="E860" s="35">
        <v>42531</v>
      </c>
      <c r="F860" s="144" t="s">
        <v>709</v>
      </c>
      <c r="G860" s="191" t="s">
        <v>207</v>
      </c>
      <c r="H860" s="198"/>
      <c r="I860" s="186"/>
      <c r="J860" s="186"/>
      <c r="K860" s="185"/>
      <c r="L860" s="186"/>
      <c r="M860" s="36">
        <v>10000000</v>
      </c>
      <c r="N860" s="37"/>
      <c r="O860" s="37" t="s">
        <v>34</v>
      </c>
      <c r="P860" s="47" t="str">
        <f>IF(AND('331-CT'!$F$5=TH!H860,OR(N860="331",O860="331")),"x","")</f>
        <v/>
      </c>
      <c r="Q860" s="47" t="str">
        <f>IF(AND(B860='111'!$L$11,OR($N860=$Q$7,$O860=$Q$7)),"x","")</f>
        <v/>
      </c>
      <c r="R860" s="47" t="str">
        <f>IF(AND($N860=$Q$7,$B860&lt;'111'!$L$11),"x","")</f>
        <v/>
      </c>
      <c r="S860" s="47" t="str">
        <f>IF(AND($O860=$Q$7,$B860&lt;'111'!$L$11),"x","")</f>
        <v>x</v>
      </c>
    </row>
    <row r="861" spans="1:19" ht="15.75" customHeight="1">
      <c r="A861" s="152" t="str">
        <f>IF(B861&lt;&gt;"",IF(AND(B861='IN-TC'!$S$4,OR(TH!N861="1111",TH!O861="1111")),TH!D861,""),"")</f>
        <v/>
      </c>
      <c r="B861" s="34">
        <f t="shared" si="30"/>
        <v>6</v>
      </c>
      <c r="C861" s="35">
        <f t="shared" si="31"/>
        <v>42531</v>
      </c>
      <c r="D861" s="212" t="s">
        <v>903</v>
      </c>
      <c r="E861" s="35">
        <v>42531</v>
      </c>
      <c r="F861" s="144" t="s">
        <v>710</v>
      </c>
      <c r="G861" s="191" t="s">
        <v>207</v>
      </c>
      <c r="H861" s="198"/>
      <c r="I861" s="186"/>
      <c r="J861" s="186"/>
      <c r="K861" s="185"/>
      <c r="L861" s="186"/>
      <c r="M861" s="36">
        <v>10000000</v>
      </c>
      <c r="N861" s="37"/>
      <c r="O861" s="37" t="s">
        <v>34</v>
      </c>
      <c r="P861" s="47" t="str">
        <f>IF(AND('331-CT'!$F$5=TH!H861,OR(N861="331",O861="331")),"x","")</f>
        <v/>
      </c>
      <c r="Q861" s="47" t="str">
        <f>IF(AND(B861='111'!$L$11,OR($N861=$Q$7,$O861=$Q$7)),"x","")</f>
        <v/>
      </c>
      <c r="R861" s="47" t="str">
        <f>IF(AND($N861=$Q$7,$B861&lt;'111'!$L$11),"x","")</f>
        <v/>
      </c>
      <c r="S861" s="47" t="str">
        <f>IF(AND($O861=$Q$7,$B861&lt;'111'!$L$11),"x","")</f>
        <v>x</v>
      </c>
    </row>
    <row r="862" spans="1:19" ht="15.75" customHeight="1">
      <c r="A862" s="152" t="str">
        <f>IF(B862&lt;&gt;"",IF(AND(B862='IN-TC'!$S$4,OR(TH!N862="1111",TH!O862="1111")),TH!D862,""),"")</f>
        <v/>
      </c>
      <c r="B862" s="34">
        <f t="shared" si="30"/>
        <v>6</v>
      </c>
      <c r="C862" s="35">
        <f t="shared" si="31"/>
        <v>42531</v>
      </c>
      <c r="D862" s="212" t="s">
        <v>904</v>
      </c>
      <c r="E862" s="35">
        <v>42531</v>
      </c>
      <c r="F862" s="144" t="s">
        <v>247</v>
      </c>
      <c r="G862" s="191" t="s">
        <v>207</v>
      </c>
      <c r="H862" s="198"/>
      <c r="I862" s="186"/>
      <c r="J862" s="186"/>
      <c r="K862" s="185"/>
      <c r="L862" s="186"/>
      <c r="M862" s="36">
        <v>500000</v>
      </c>
      <c r="N862" s="37"/>
      <c r="O862" s="37" t="s">
        <v>34</v>
      </c>
      <c r="P862" s="47" t="str">
        <f>IF(AND('331-CT'!$F$5=TH!H862,OR(N862="331",O862="331")),"x","")</f>
        <v/>
      </c>
      <c r="Q862" s="47" t="str">
        <f>IF(AND(B862='111'!$L$11,OR($N862=$Q$7,$O862=$Q$7)),"x","")</f>
        <v/>
      </c>
      <c r="R862" s="47" t="str">
        <f>IF(AND($N862=$Q$7,$B862&lt;'111'!$L$11),"x","")</f>
        <v/>
      </c>
      <c r="S862" s="47" t="str">
        <f>IF(AND($O862=$Q$7,$B862&lt;'111'!$L$11),"x","")</f>
        <v>x</v>
      </c>
    </row>
    <row r="863" spans="1:19" ht="15.75" customHeight="1">
      <c r="A863" s="152" t="str">
        <f>IF(B863&lt;&gt;"",IF(AND(B863='IN-TC'!$S$4,OR(TH!N863="1111",TH!O863="1111")),TH!D863,""),"")</f>
        <v/>
      </c>
      <c r="B863" s="34">
        <f t="shared" si="30"/>
        <v>6</v>
      </c>
      <c r="C863" s="35">
        <f t="shared" si="31"/>
        <v>42531</v>
      </c>
      <c r="D863" s="212" t="s">
        <v>905</v>
      </c>
      <c r="E863" s="35">
        <v>42531</v>
      </c>
      <c r="F863" s="144" t="s">
        <v>711</v>
      </c>
      <c r="G863" s="191" t="s">
        <v>205</v>
      </c>
      <c r="H863" s="198"/>
      <c r="I863" s="186"/>
      <c r="J863" s="186"/>
      <c r="K863" s="185"/>
      <c r="L863" s="186"/>
      <c r="M863" s="36">
        <v>720000</v>
      </c>
      <c r="N863" s="37"/>
      <c r="O863" s="37" t="s">
        <v>34</v>
      </c>
      <c r="P863" s="47" t="str">
        <f>IF(AND('331-CT'!$F$5=TH!H863,OR(N863="331",O863="331")),"x","")</f>
        <v/>
      </c>
      <c r="Q863" s="47" t="str">
        <f>IF(AND(B863='111'!$L$11,OR($N863=$Q$7,$O863=$Q$7)),"x","")</f>
        <v/>
      </c>
      <c r="R863" s="47" t="str">
        <f>IF(AND($N863=$Q$7,$B863&lt;'111'!$L$11),"x","")</f>
        <v/>
      </c>
      <c r="S863" s="47" t="str">
        <f>IF(AND($O863=$Q$7,$B863&lt;'111'!$L$11),"x","")</f>
        <v>x</v>
      </c>
    </row>
    <row r="864" spans="1:19" ht="15.75" customHeight="1">
      <c r="A864" s="152" t="str">
        <f>IF(B864&lt;&gt;"",IF(AND(B864='IN-TC'!$S$4,OR(TH!N864="1111",TH!O864="1111")),TH!D864,""),"")</f>
        <v/>
      </c>
      <c r="B864" s="34">
        <f t="shared" si="30"/>
        <v>6</v>
      </c>
      <c r="C864" s="35">
        <f t="shared" si="31"/>
        <v>42531</v>
      </c>
      <c r="D864" s="212" t="s">
        <v>906</v>
      </c>
      <c r="E864" s="35">
        <v>42531</v>
      </c>
      <c r="F864" s="144" t="s">
        <v>600</v>
      </c>
      <c r="G864" s="191" t="s">
        <v>206</v>
      </c>
      <c r="H864" s="198" t="s">
        <v>830</v>
      </c>
      <c r="I864" s="186"/>
      <c r="J864" s="186"/>
      <c r="K864" s="185"/>
      <c r="L864" s="186"/>
      <c r="M864" s="36">
        <v>2057000</v>
      </c>
      <c r="N864" s="37" t="s">
        <v>8</v>
      </c>
      <c r="O864" s="37" t="s">
        <v>34</v>
      </c>
      <c r="P864" s="47" t="str">
        <f>IF(AND('331-CT'!$F$5=TH!H864,OR(N864="331",O864="331")),"x","")</f>
        <v/>
      </c>
      <c r="Q864" s="47" t="str">
        <f>IF(AND(B864='111'!$L$11,OR($N864=$Q$7,$O864=$Q$7)),"x","")</f>
        <v/>
      </c>
      <c r="R864" s="47" t="str">
        <f>IF(AND($N864=$Q$7,$B864&lt;'111'!$L$11),"x","")</f>
        <v/>
      </c>
      <c r="S864" s="47" t="str">
        <f>IF(AND($O864=$Q$7,$B864&lt;'111'!$L$11),"x","")</f>
        <v>x</v>
      </c>
    </row>
    <row r="865" spans="1:19" ht="15.75" customHeight="1">
      <c r="A865" s="152" t="str">
        <f>IF(B865&lt;&gt;"",IF(AND(B865='IN-TC'!$S$4,OR(TH!N865="1111",TH!O865="1111")),TH!D865,""),"")</f>
        <v/>
      </c>
      <c r="B865" s="34">
        <f t="shared" si="30"/>
        <v>6</v>
      </c>
      <c r="C865" s="35">
        <f t="shared" si="31"/>
        <v>42531</v>
      </c>
      <c r="D865" s="212" t="s">
        <v>907</v>
      </c>
      <c r="E865" s="35">
        <v>42531</v>
      </c>
      <c r="F865" s="144" t="s">
        <v>331</v>
      </c>
      <c r="G865" s="191" t="s">
        <v>206</v>
      </c>
      <c r="H865" s="198" t="s">
        <v>838</v>
      </c>
      <c r="I865" s="186"/>
      <c r="J865" s="186"/>
      <c r="K865" s="185"/>
      <c r="L865" s="186"/>
      <c r="M865" s="36">
        <v>307272000</v>
      </c>
      <c r="N865" s="37" t="s">
        <v>8</v>
      </c>
      <c r="O865" s="37" t="s">
        <v>34</v>
      </c>
      <c r="P865" s="47" t="str">
        <f>IF(AND('331-CT'!$F$5=TH!H865,OR(N865="331",O865="331")),"x","")</f>
        <v/>
      </c>
      <c r="Q865" s="47" t="str">
        <f>IF(AND(B865='111'!$L$11,OR($N865=$Q$7,$O865=$Q$7)),"x","")</f>
        <v/>
      </c>
      <c r="R865" s="47" t="str">
        <f>IF(AND($N865=$Q$7,$B865&lt;'111'!$L$11),"x","")</f>
        <v/>
      </c>
      <c r="S865" s="47" t="str">
        <f>IF(AND($O865=$Q$7,$B865&lt;'111'!$L$11),"x","")</f>
        <v>x</v>
      </c>
    </row>
    <row r="866" spans="1:19" ht="15.75" customHeight="1">
      <c r="A866" s="152" t="str">
        <f>IF(B866&lt;&gt;"",IF(AND(B866='IN-TC'!$S$4,OR(TH!N866="1111",TH!O866="1111")),TH!D866,""),"")</f>
        <v/>
      </c>
      <c r="B866" s="34">
        <f t="shared" si="30"/>
        <v>6</v>
      </c>
      <c r="C866" s="35">
        <f t="shared" si="31"/>
        <v>42531</v>
      </c>
      <c r="D866" s="212" t="s">
        <v>908</v>
      </c>
      <c r="E866" s="35">
        <v>42531</v>
      </c>
      <c r="F866" s="144" t="s">
        <v>712</v>
      </c>
      <c r="G866" s="191" t="s">
        <v>212</v>
      </c>
      <c r="H866" s="198"/>
      <c r="I866" s="186"/>
      <c r="J866" s="186"/>
      <c r="K866" s="185"/>
      <c r="L866" s="186"/>
      <c r="M866" s="36">
        <v>183020000</v>
      </c>
      <c r="N866" s="37"/>
      <c r="O866" s="37" t="s">
        <v>34</v>
      </c>
      <c r="P866" s="47" t="str">
        <f>IF(AND('331-CT'!$F$5=TH!H866,OR(N866="331",O866="331")),"x","")</f>
        <v/>
      </c>
      <c r="Q866" s="47" t="str">
        <f>IF(AND(B866='111'!$L$11,OR($N866=$Q$7,$O866=$Q$7)),"x","")</f>
        <v/>
      </c>
      <c r="R866" s="47" t="str">
        <f>IF(AND($N866=$Q$7,$B866&lt;'111'!$L$11),"x","")</f>
        <v/>
      </c>
      <c r="S866" s="47" t="str">
        <f>IF(AND($O866=$Q$7,$B866&lt;'111'!$L$11),"x","")</f>
        <v>x</v>
      </c>
    </row>
    <row r="867" spans="1:19" ht="15.75" customHeight="1">
      <c r="A867" s="152" t="str">
        <f>IF(B867&lt;&gt;"",IF(AND(B867='IN-TC'!$S$4,OR(TH!N867="1111",TH!O867="1111")),TH!D867,""),"")</f>
        <v/>
      </c>
      <c r="B867" s="34">
        <f t="shared" si="30"/>
        <v>6</v>
      </c>
      <c r="C867" s="35">
        <f t="shared" si="31"/>
        <v>42531</v>
      </c>
      <c r="D867" s="212" t="s">
        <v>909</v>
      </c>
      <c r="E867" s="35">
        <v>42531</v>
      </c>
      <c r="F867" s="144" t="s">
        <v>279</v>
      </c>
      <c r="G867" s="191" t="s">
        <v>202</v>
      </c>
      <c r="H867" s="198"/>
      <c r="I867" s="186"/>
      <c r="J867" s="186"/>
      <c r="K867" s="185"/>
      <c r="L867" s="186"/>
      <c r="M867" s="36">
        <v>135000</v>
      </c>
      <c r="N867" s="37"/>
      <c r="O867" s="37" t="s">
        <v>34</v>
      </c>
      <c r="P867" s="47" t="str">
        <f>IF(AND('331-CT'!$F$5=TH!H867,OR(N867="331",O867="331")),"x","")</f>
        <v/>
      </c>
      <c r="Q867" s="47" t="str">
        <f>IF(AND(B867='111'!$L$11,OR($N867=$Q$7,$O867=$Q$7)),"x","")</f>
        <v/>
      </c>
      <c r="R867" s="47" t="str">
        <f>IF(AND($N867=$Q$7,$B867&lt;'111'!$L$11),"x","")</f>
        <v/>
      </c>
      <c r="S867" s="47" t="str">
        <f>IF(AND($O867=$Q$7,$B867&lt;'111'!$L$11),"x","")</f>
        <v>x</v>
      </c>
    </row>
    <row r="868" spans="1:19" ht="15.75" customHeight="1">
      <c r="A868" s="152" t="str">
        <f>IF(B868&lt;&gt;"",IF(AND(B868='IN-TC'!$S$4,OR(TH!N868="1111",TH!O868="1111")),TH!D868,""),"")</f>
        <v/>
      </c>
      <c r="B868" s="34">
        <f t="shared" si="30"/>
        <v>6</v>
      </c>
      <c r="C868" s="35">
        <f t="shared" si="31"/>
        <v>42532</v>
      </c>
      <c r="D868" s="212" t="s">
        <v>1013</v>
      </c>
      <c r="E868" s="35">
        <v>42532</v>
      </c>
      <c r="F868" s="144" t="s">
        <v>188</v>
      </c>
      <c r="G868" s="191" t="s">
        <v>116</v>
      </c>
      <c r="H868" s="198"/>
      <c r="I868" s="186"/>
      <c r="J868" s="186"/>
      <c r="K868" s="185"/>
      <c r="L868" s="186"/>
      <c r="M868" s="36">
        <v>450000000</v>
      </c>
      <c r="N868" s="37" t="s">
        <v>34</v>
      </c>
      <c r="O868" s="37"/>
      <c r="P868" s="47" t="str">
        <f>IF(AND('331-CT'!$F$5=TH!H868,OR(N868="331",O868="331")),"x","")</f>
        <v/>
      </c>
      <c r="Q868" s="47" t="str">
        <f>IF(AND(B868='111'!$L$11,OR($N868=$Q$7,$O868=$Q$7)),"x","")</f>
        <v/>
      </c>
      <c r="R868" s="47" t="str">
        <f>IF(AND($N868=$Q$7,$B868&lt;'111'!$L$11),"x","")</f>
        <v>x</v>
      </c>
      <c r="S868" s="47" t="str">
        <f>IF(AND($O868=$Q$7,$B868&lt;'111'!$L$11),"x","")</f>
        <v/>
      </c>
    </row>
    <row r="869" spans="1:19" ht="15.75" customHeight="1">
      <c r="A869" s="152" t="str">
        <f>IF(B869&lt;&gt;"",IF(AND(B869='IN-TC'!$S$4,OR(TH!N869="1111",TH!O869="1111")),TH!D869,""),"")</f>
        <v/>
      </c>
      <c r="B869" s="34">
        <f t="shared" si="30"/>
        <v>6</v>
      </c>
      <c r="C869" s="35">
        <f t="shared" si="31"/>
        <v>42532</v>
      </c>
      <c r="D869" s="212" t="s">
        <v>910</v>
      </c>
      <c r="E869" s="35">
        <v>42532</v>
      </c>
      <c r="F869" s="144" t="s">
        <v>713</v>
      </c>
      <c r="G869" s="191" t="s">
        <v>205</v>
      </c>
      <c r="H869" s="198"/>
      <c r="I869" s="186"/>
      <c r="J869" s="186"/>
      <c r="K869" s="185"/>
      <c r="L869" s="186"/>
      <c r="M869" s="36">
        <v>610000</v>
      </c>
      <c r="N869" s="37"/>
      <c r="O869" s="37" t="s">
        <v>34</v>
      </c>
      <c r="P869" s="47" t="str">
        <f>IF(AND('331-CT'!$F$5=TH!H869,OR(N869="331",O869="331")),"x","")</f>
        <v/>
      </c>
      <c r="Q869" s="47" t="str">
        <f>IF(AND(B869='111'!$L$11,OR($N869=$Q$7,$O869=$Q$7)),"x","")</f>
        <v/>
      </c>
      <c r="R869" s="47" t="str">
        <f>IF(AND($N869=$Q$7,$B869&lt;'111'!$L$11),"x","")</f>
        <v/>
      </c>
      <c r="S869" s="47" t="str">
        <f>IF(AND($O869=$Q$7,$B869&lt;'111'!$L$11),"x","")</f>
        <v>x</v>
      </c>
    </row>
    <row r="870" spans="1:19" ht="15.75" customHeight="1">
      <c r="A870" s="152" t="str">
        <f>IF(B870&lt;&gt;"",IF(AND(B870='IN-TC'!$S$4,OR(TH!N870="1111",TH!O870="1111")),TH!D870,""),"")</f>
        <v/>
      </c>
      <c r="B870" s="34">
        <f t="shared" si="30"/>
        <v>6</v>
      </c>
      <c r="C870" s="35">
        <f t="shared" si="31"/>
        <v>42532</v>
      </c>
      <c r="D870" s="212" t="s">
        <v>911</v>
      </c>
      <c r="E870" s="35">
        <v>42532</v>
      </c>
      <c r="F870" s="144" t="s">
        <v>714</v>
      </c>
      <c r="G870" s="191" t="s">
        <v>212</v>
      </c>
      <c r="H870" s="198"/>
      <c r="I870" s="186"/>
      <c r="J870" s="186"/>
      <c r="K870" s="185"/>
      <c r="L870" s="186"/>
      <c r="M870" s="36">
        <v>96967000</v>
      </c>
      <c r="N870" s="37"/>
      <c r="O870" s="37" t="s">
        <v>34</v>
      </c>
      <c r="P870" s="47" t="str">
        <f>IF(AND('331-CT'!$F$5=TH!H870,OR(N870="331",O870="331")),"x","")</f>
        <v/>
      </c>
      <c r="Q870" s="47" t="str">
        <f>IF(AND(B870='111'!$L$11,OR($N870=$Q$7,$O870=$Q$7)),"x","")</f>
        <v/>
      </c>
      <c r="R870" s="47" t="str">
        <f>IF(AND($N870=$Q$7,$B870&lt;'111'!$L$11),"x","")</f>
        <v/>
      </c>
      <c r="S870" s="47" t="str">
        <f>IF(AND($O870=$Q$7,$B870&lt;'111'!$L$11),"x","")</f>
        <v>x</v>
      </c>
    </row>
    <row r="871" spans="1:19" ht="15.75" customHeight="1">
      <c r="A871" s="152" t="str">
        <f>IF(B871&lt;&gt;"",IF(AND(B871='IN-TC'!$S$4,OR(TH!N871="1111",TH!O871="1111")),TH!D871,""),"")</f>
        <v/>
      </c>
      <c r="B871" s="34">
        <f t="shared" si="30"/>
        <v>6</v>
      </c>
      <c r="C871" s="35">
        <f t="shared" si="31"/>
        <v>42532</v>
      </c>
      <c r="D871" s="212" t="s">
        <v>912</v>
      </c>
      <c r="E871" s="35">
        <v>42532</v>
      </c>
      <c r="F871" s="144" t="s">
        <v>569</v>
      </c>
      <c r="G871" s="191" t="s">
        <v>206</v>
      </c>
      <c r="H871" s="198" t="s">
        <v>815</v>
      </c>
      <c r="I871" s="186"/>
      <c r="J871" s="186"/>
      <c r="K871" s="185"/>
      <c r="L871" s="186"/>
      <c r="M871" s="36">
        <v>150000000</v>
      </c>
      <c r="N871" s="37" t="s">
        <v>8</v>
      </c>
      <c r="O871" s="37" t="s">
        <v>34</v>
      </c>
      <c r="P871" s="47" t="str">
        <f>IF(AND('331-CT'!$F$5=TH!H871,OR(N871="331",O871="331")),"x","")</f>
        <v/>
      </c>
      <c r="Q871" s="47" t="str">
        <f>IF(AND(B871='111'!$L$11,OR($N871=$Q$7,$O871=$Q$7)),"x","")</f>
        <v/>
      </c>
      <c r="R871" s="47" t="str">
        <f>IF(AND($N871=$Q$7,$B871&lt;'111'!$L$11),"x","")</f>
        <v/>
      </c>
      <c r="S871" s="47" t="str">
        <f>IF(AND($O871=$Q$7,$B871&lt;'111'!$L$11),"x","")</f>
        <v>x</v>
      </c>
    </row>
    <row r="872" spans="1:19" ht="15.75" customHeight="1">
      <c r="A872" s="152" t="str">
        <f>IF(B872&lt;&gt;"",IF(AND(B872='IN-TC'!$S$4,OR(TH!N872="1111",TH!O872="1111")),TH!D872,""),"")</f>
        <v/>
      </c>
      <c r="B872" s="34">
        <f t="shared" si="30"/>
        <v>6</v>
      </c>
      <c r="C872" s="35">
        <f t="shared" si="31"/>
        <v>42532</v>
      </c>
      <c r="D872" s="212" t="s">
        <v>913</v>
      </c>
      <c r="E872" s="35">
        <v>42532</v>
      </c>
      <c r="F872" s="144" t="s">
        <v>715</v>
      </c>
      <c r="G872" s="191" t="s">
        <v>206</v>
      </c>
      <c r="H872" s="198" t="s">
        <v>826</v>
      </c>
      <c r="I872" s="186"/>
      <c r="J872" s="186"/>
      <c r="K872" s="185"/>
      <c r="L872" s="186"/>
      <c r="M872" s="36">
        <v>70021000</v>
      </c>
      <c r="N872" s="37" t="s">
        <v>8</v>
      </c>
      <c r="O872" s="37" t="s">
        <v>34</v>
      </c>
      <c r="P872" s="47" t="str">
        <f>IF(AND('331-CT'!$F$5=TH!H872,OR(N872="331",O872="331")),"x","")</f>
        <v/>
      </c>
      <c r="Q872" s="47" t="str">
        <f>IF(AND(B872='111'!$L$11,OR($N872=$Q$7,$O872=$Q$7)),"x","")</f>
        <v/>
      </c>
      <c r="R872" s="47" t="str">
        <f>IF(AND($N872=$Q$7,$B872&lt;'111'!$L$11),"x","")</f>
        <v/>
      </c>
      <c r="S872" s="47" t="str">
        <f>IF(AND($O872=$Q$7,$B872&lt;'111'!$L$11),"x","")</f>
        <v>x</v>
      </c>
    </row>
    <row r="873" spans="1:19" ht="15.75" customHeight="1">
      <c r="A873" s="152" t="str">
        <f>IF(B873&lt;&gt;"",IF(AND(B873='IN-TC'!$S$4,OR(TH!N873="1111",TH!O873="1111")),TH!D873,""),"")</f>
        <v/>
      </c>
      <c r="B873" s="34">
        <f t="shared" si="30"/>
        <v>6</v>
      </c>
      <c r="C873" s="35">
        <f t="shared" si="31"/>
        <v>42532</v>
      </c>
      <c r="D873" s="212"/>
      <c r="E873" s="35">
        <v>42532</v>
      </c>
      <c r="F873" s="144" t="s">
        <v>1467</v>
      </c>
      <c r="G873" s="191"/>
      <c r="H873" s="198" t="s">
        <v>831</v>
      </c>
      <c r="I873" s="186">
        <v>570</v>
      </c>
      <c r="J873" s="186">
        <v>13000</v>
      </c>
      <c r="K873" s="185"/>
      <c r="L873" s="186"/>
      <c r="M873" s="36">
        <f>ROUND(I873*J873,0)</f>
        <v>7410000</v>
      </c>
      <c r="N873" s="37" t="s">
        <v>1443</v>
      </c>
      <c r="O873" s="37" t="s">
        <v>8</v>
      </c>
      <c r="P873" s="47" t="str">
        <f>IF(AND('331-CT'!$F$5=TH!H873,OR(N873="331",O873="331")),"x","")</f>
        <v/>
      </c>
      <c r="Q873" s="47" t="str">
        <f>IF(AND(B873='111'!$L$11,OR($N873=$Q$7,$O873=$Q$7)),"x","")</f>
        <v/>
      </c>
      <c r="R873" s="47" t="str">
        <f>IF(AND($N873=$Q$7,$B873&lt;'111'!$L$11),"x","")</f>
        <v/>
      </c>
      <c r="S873" s="47" t="str">
        <f>IF(AND($O873=$Q$7,$B873&lt;'111'!$L$11),"x","")</f>
        <v/>
      </c>
    </row>
    <row r="874" spans="1:19" ht="15.75" customHeight="1">
      <c r="A874" s="152" t="str">
        <f>IF(B874&lt;&gt;"",IF(AND(B874='IN-TC'!$S$4,OR(TH!N874="1111",TH!O874="1111")),TH!D874,""),"")</f>
        <v/>
      </c>
      <c r="B874" s="34">
        <f t="shared" si="30"/>
        <v>6</v>
      </c>
      <c r="C874" s="35">
        <f t="shared" si="31"/>
        <v>42532</v>
      </c>
      <c r="D874" s="212"/>
      <c r="E874" s="35">
        <v>42532</v>
      </c>
      <c r="F874" s="144" t="s">
        <v>1466</v>
      </c>
      <c r="G874" s="191" t="s">
        <v>204</v>
      </c>
      <c r="H874" s="198" t="s">
        <v>832</v>
      </c>
      <c r="I874" s="186">
        <v>374</v>
      </c>
      <c r="J874" s="186">
        <v>15000</v>
      </c>
      <c r="K874" s="185"/>
      <c r="L874" s="186"/>
      <c r="M874" s="36">
        <f>ROUND(I874*J874,0)</f>
        <v>5610000</v>
      </c>
      <c r="N874" s="37" t="s">
        <v>1443</v>
      </c>
      <c r="O874" s="37" t="s">
        <v>8</v>
      </c>
      <c r="P874" s="47" t="str">
        <f>IF(AND('331-CT'!$F$5=TH!H874,OR(N874="331",O874="331")),"x","")</f>
        <v/>
      </c>
      <c r="Q874" s="47" t="str">
        <f>IF(AND(B874='111'!$L$11,OR($N874=$Q$7,$O874=$Q$7)),"x","")</f>
        <v/>
      </c>
      <c r="R874" s="47" t="str">
        <f>IF(AND($N874=$Q$7,$B874&lt;'111'!$L$11),"x","")</f>
        <v/>
      </c>
      <c r="S874" s="47" t="str">
        <f>IF(AND($O874=$Q$7,$B874&lt;'111'!$L$11),"x","")</f>
        <v/>
      </c>
    </row>
    <row r="875" spans="1:19" ht="15.75" customHeight="1">
      <c r="A875" s="152" t="str">
        <f>IF(B875&lt;&gt;"",IF(AND(B875='IN-TC'!$S$4,OR(TH!N875="1111",TH!O875="1111")),TH!D875,""),"")</f>
        <v/>
      </c>
      <c r="B875" s="34">
        <f t="shared" si="30"/>
        <v>6</v>
      </c>
      <c r="C875" s="35">
        <f t="shared" si="31"/>
        <v>42532</v>
      </c>
      <c r="D875" s="212"/>
      <c r="E875" s="35">
        <v>42532</v>
      </c>
      <c r="F875" s="144" t="s">
        <v>1473</v>
      </c>
      <c r="G875" s="191" t="s">
        <v>204</v>
      </c>
      <c r="H875" s="198" t="s">
        <v>832</v>
      </c>
      <c r="I875" s="186">
        <v>75</v>
      </c>
      <c r="J875" s="186">
        <v>21000</v>
      </c>
      <c r="K875" s="185"/>
      <c r="L875" s="186"/>
      <c r="M875" s="36">
        <f>ROUND(I875*J875,0)</f>
        <v>1575000</v>
      </c>
      <c r="N875" s="37" t="s">
        <v>1443</v>
      </c>
      <c r="O875" s="37" t="s">
        <v>8</v>
      </c>
      <c r="P875" s="47" t="str">
        <f>IF(AND('331-CT'!$F$5=TH!H875,OR(N875="331",O875="331")),"x","")</f>
        <v/>
      </c>
      <c r="Q875" s="47" t="str">
        <f>IF(AND(B875='111'!$L$11,OR($N875=$Q$7,$O875=$Q$7)),"x","")</f>
        <v/>
      </c>
      <c r="R875" s="47" t="str">
        <f>IF(AND($N875=$Q$7,$B875&lt;'111'!$L$11),"x","")</f>
        <v/>
      </c>
      <c r="S875" s="47" t="str">
        <f>IF(AND($O875=$Q$7,$B875&lt;'111'!$L$11),"x","")</f>
        <v/>
      </c>
    </row>
    <row r="876" spans="1:19" ht="15.75" customHeight="1">
      <c r="A876" s="152" t="str">
        <f>IF(B876&lt;&gt;"",IF(AND(B876='IN-TC'!$S$4,OR(TH!N876="1111",TH!O876="1111")),TH!D876,""),"")</f>
        <v/>
      </c>
      <c r="B876" s="34">
        <f t="shared" si="30"/>
        <v>6</v>
      </c>
      <c r="C876" s="35">
        <f t="shared" si="31"/>
        <v>42534</v>
      </c>
      <c r="D876" s="212" t="s">
        <v>1014</v>
      </c>
      <c r="E876" s="35">
        <v>42534</v>
      </c>
      <c r="F876" s="144" t="s">
        <v>189</v>
      </c>
      <c r="G876" s="191" t="s">
        <v>108</v>
      </c>
      <c r="H876" s="198"/>
      <c r="I876" s="186"/>
      <c r="J876" s="186"/>
      <c r="K876" s="185"/>
      <c r="L876" s="186"/>
      <c r="M876" s="36">
        <v>2760000</v>
      </c>
      <c r="N876" s="37" t="s">
        <v>34</v>
      </c>
      <c r="O876" s="37"/>
      <c r="P876" s="47" t="str">
        <f>IF(AND('331-CT'!$F$5=TH!H876,OR(N876="331",O876="331")),"x","")</f>
        <v/>
      </c>
      <c r="Q876" s="47" t="str">
        <f>IF(AND(B876='111'!$L$11,OR($N876=$Q$7,$O876=$Q$7)),"x","")</f>
        <v/>
      </c>
      <c r="R876" s="47" t="str">
        <f>IF(AND($N876=$Q$7,$B876&lt;'111'!$L$11),"x","")</f>
        <v>x</v>
      </c>
      <c r="S876" s="47" t="str">
        <f>IF(AND($O876=$Q$7,$B876&lt;'111'!$L$11),"x","")</f>
        <v/>
      </c>
    </row>
    <row r="877" spans="1:19" ht="15.75" customHeight="1">
      <c r="A877" s="152" t="str">
        <f>IF(B877&lt;&gt;"",IF(AND(B877='IN-TC'!$S$4,OR(TH!N877="1111",TH!O877="1111")),TH!D877,""),"")</f>
        <v/>
      </c>
      <c r="B877" s="34">
        <f t="shared" si="30"/>
        <v>6</v>
      </c>
      <c r="C877" s="35">
        <f t="shared" si="31"/>
        <v>42534</v>
      </c>
      <c r="D877" s="212" t="s">
        <v>1015</v>
      </c>
      <c r="E877" s="35">
        <v>42534</v>
      </c>
      <c r="F877" s="144" t="s">
        <v>190</v>
      </c>
      <c r="G877" s="191" t="s">
        <v>117</v>
      </c>
      <c r="H877" s="198"/>
      <c r="I877" s="186"/>
      <c r="J877" s="186"/>
      <c r="K877" s="185"/>
      <c r="L877" s="186"/>
      <c r="M877" s="36">
        <v>7500000</v>
      </c>
      <c r="N877" s="37" t="s">
        <v>34</v>
      </c>
      <c r="O877" s="37"/>
      <c r="P877" s="47" t="str">
        <f>IF(AND('331-CT'!$F$5=TH!H877,OR(N877="331",O877="331")),"x","")</f>
        <v/>
      </c>
      <c r="Q877" s="47" t="str">
        <f>IF(AND(B877='111'!$L$11,OR($N877=$Q$7,$O877=$Q$7)),"x","")</f>
        <v/>
      </c>
      <c r="R877" s="47" t="str">
        <f>IF(AND($N877=$Q$7,$B877&lt;'111'!$L$11),"x","")</f>
        <v>x</v>
      </c>
      <c r="S877" s="47" t="str">
        <f>IF(AND($O877=$Q$7,$B877&lt;'111'!$L$11),"x","")</f>
        <v/>
      </c>
    </row>
    <row r="878" spans="1:19" ht="15.75" customHeight="1">
      <c r="A878" s="152" t="str">
        <f>IF(B878&lt;&gt;"",IF(AND(B878='IN-TC'!$S$4,OR(TH!N878="1111",TH!O878="1111")),TH!D878,""),"")</f>
        <v/>
      </c>
      <c r="B878" s="34">
        <f t="shared" si="30"/>
        <v>6</v>
      </c>
      <c r="C878" s="35">
        <f t="shared" si="31"/>
        <v>42534</v>
      </c>
      <c r="D878" s="212" t="s">
        <v>914</v>
      </c>
      <c r="E878" s="35">
        <v>42534</v>
      </c>
      <c r="F878" s="144" t="s">
        <v>249</v>
      </c>
      <c r="G878" s="191" t="s">
        <v>205</v>
      </c>
      <c r="H878" s="198"/>
      <c r="I878" s="186"/>
      <c r="J878" s="186"/>
      <c r="K878" s="185"/>
      <c r="L878" s="186"/>
      <c r="M878" s="36">
        <v>1744000</v>
      </c>
      <c r="N878" s="37"/>
      <c r="O878" s="37" t="s">
        <v>34</v>
      </c>
      <c r="P878" s="47" t="str">
        <f>IF(AND('331-CT'!$F$5=TH!H878,OR(N878="331",O878="331")),"x","")</f>
        <v/>
      </c>
      <c r="Q878" s="47" t="str">
        <f>IF(AND(B878='111'!$L$11,OR($N878=$Q$7,$O878=$Q$7)),"x","")</f>
        <v/>
      </c>
      <c r="R878" s="47" t="str">
        <f>IF(AND($N878=$Q$7,$B878&lt;'111'!$L$11),"x","")</f>
        <v/>
      </c>
      <c r="S878" s="47" t="str">
        <f>IF(AND($O878=$Q$7,$B878&lt;'111'!$L$11),"x","")</f>
        <v>x</v>
      </c>
    </row>
    <row r="879" spans="1:19" ht="15.75" customHeight="1">
      <c r="A879" s="152" t="str">
        <f>IF(B879&lt;&gt;"",IF(AND(B879='IN-TC'!$S$4,OR(TH!N879="1111",TH!O879="1111")),TH!D879,""),"")</f>
        <v/>
      </c>
      <c r="B879" s="34">
        <f t="shared" si="30"/>
        <v>6</v>
      </c>
      <c r="C879" s="35">
        <f t="shared" si="31"/>
        <v>42534</v>
      </c>
      <c r="D879" s="212" t="s">
        <v>915</v>
      </c>
      <c r="E879" s="35">
        <v>42534</v>
      </c>
      <c r="F879" s="144" t="s">
        <v>262</v>
      </c>
      <c r="G879" s="191" t="s">
        <v>104</v>
      </c>
      <c r="H879" s="198"/>
      <c r="I879" s="186"/>
      <c r="J879" s="186"/>
      <c r="K879" s="185"/>
      <c r="L879" s="186"/>
      <c r="M879" s="36">
        <v>32000000</v>
      </c>
      <c r="N879" s="37"/>
      <c r="O879" s="37" t="s">
        <v>34</v>
      </c>
      <c r="P879" s="47" t="str">
        <f>IF(AND('331-CT'!$F$5=TH!H879,OR(N879="331",O879="331")),"x","")</f>
        <v/>
      </c>
      <c r="Q879" s="47" t="str">
        <f>IF(AND(B879='111'!$L$11,OR($N879=$Q$7,$O879=$Q$7)),"x","")</f>
        <v/>
      </c>
      <c r="R879" s="47" t="str">
        <f>IF(AND($N879=$Q$7,$B879&lt;'111'!$L$11),"x","")</f>
        <v/>
      </c>
      <c r="S879" s="47" t="str">
        <f>IF(AND($O879=$Q$7,$B879&lt;'111'!$L$11),"x","")</f>
        <v>x</v>
      </c>
    </row>
    <row r="880" spans="1:19" ht="15.75" customHeight="1">
      <c r="A880" s="152" t="str">
        <f>IF(B880&lt;&gt;"",IF(AND(B880='IN-TC'!$S$4,OR(TH!N880="1111",TH!O880="1111")),TH!D880,""),"")</f>
        <v/>
      </c>
      <c r="B880" s="34">
        <f t="shared" si="30"/>
        <v>6</v>
      </c>
      <c r="C880" s="35">
        <f t="shared" si="31"/>
        <v>42534</v>
      </c>
      <c r="D880" s="212" t="s">
        <v>916</v>
      </c>
      <c r="E880" s="35">
        <v>42534</v>
      </c>
      <c r="F880" s="144" t="s">
        <v>716</v>
      </c>
      <c r="G880" s="191" t="s">
        <v>220</v>
      </c>
      <c r="H880" s="198"/>
      <c r="I880" s="186"/>
      <c r="J880" s="186"/>
      <c r="K880" s="185"/>
      <c r="L880" s="186"/>
      <c r="M880" s="36">
        <v>32582000</v>
      </c>
      <c r="N880" s="37"/>
      <c r="O880" s="37" t="s">
        <v>34</v>
      </c>
      <c r="P880" s="47" t="str">
        <f>IF(AND('331-CT'!$F$5=TH!H880,OR(N880="331",O880="331")),"x","")</f>
        <v/>
      </c>
      <c r="Q880" s="47" t="str">
        <f>IF(AND(B880='111'!$L$11,OR($N880=$Q$7,$O880=$Q$7)),"x","")</f>
        <v/>
      </c>
      <c r="R880" s="47" t="str">
        <f>IF(AND($N880=$Q$7,$B880&lt;'111'!$L$11),"x","")</f>
        <v/>
      </c>
      <c r="S880" s="47" t="str">
        <f>IF(AND($O880=$Q$7,$B880&lt;'111'!$L$11),"x","")</f>
        <v>x</v>
      </c>
    </row>
    <row r="881" spans="1:19" ht="15.75" customHeight="1">
      <c r="A881" s="152" t="str">
        <f>IF(B881&lt;&gt;"",IF(AND(B881='IN-TC'!$S$4,OR(TH!N881="1111",TH!O881="1111")),TH!D881,""),"")</f>
        <v/>
      </c>
      <c r="B881" s="34">
        <f t="shared" si="30"/>
        <v>6</v>
      </c>
      <c r="C881" s="35">
        <f t="shared" si="31"/>
        <v>42534</v>
      </c>
      <c r="D881" s="212" t="s">
        <v>917</v>
      </c>
      <c r="E881" s="35">
        <v>42534</v>
      </c>
      <c r="F881" s="144" t="s">
        <v>717</v>
      </c>
      <c r="G881" s="191" t="s">
        <v>204</v>
      </c>
      <c r="H881" s="198"/>
      <c r="I881" s="186"/>
      <c r="J881" s="186"/>
      <c r="K881" s="185"/>
      <c r="L881" s="186"/>
      <c r="M881" s="36">
        <v>10000000</v>
      </c>
      <c r="N881" s="37"/>
      <c r="O881" s="37" t="s">
        <v>34</v>
      </c>
      <c r="P881" s="47" t="str">
        <f>IF(AND('331-CT'!$F$5=TH!H881,OR(N881="331",O881="331")),"x","")</f>
        <v/>
      </c>
      <c r="Q881" s="47" t="str">
        <f>IF(AND(B881='111'!$L$11,OR($N881=$Q$7,$O881=$Q$7)),"x","")</f>
        <v/>
      </c>
      <c r="R881" s="47" t="str">
        <f>IF(AND($N881=$Q$7,$B881&lt;'111'!$L$11),"x","")</f>
        <v/>
      </c>
      <c r="S881" s="47" t="str">
        <f>IF(AND($O881=$Q$7,$B881&lt;'111'!$L$11),"x","")</f>
        <v>x</v>
      </c>
    </row>
    <row r="882" spans="1:19" ht="15.75" customHeight="1">
      <c r="A882" s="152" t="str">
        <f>IF(B882&lt;&gt;"",IF(AND(B882='IN-TC'!$S$4,OR(TH!N882="1111",TH!O882="1111")),TH!D882,""),"")</f>
        <v/>
      </c>
      <c r="B882" s="34">
        <f t="shared" si="30"/>
        <v>6</v>
      </c>
      <c r="C882" s="35">
        <f t="shared" si="31"/>
        <v>42534</v>
      </c>
      <c r="D882" s="212" t="s">
        <v>918</v>
      </c>
      <c r="E882" s="35">
        <v>42534</v>
      </c>
      <c r="F882" s="144" t="s">
        <v>718</v>
      </c>
      <c r="G882" s="191" t="s">
        <v>205</v>
      </c>
      <c r="H882" s="198"/>
      <c r="I882" s="186"/>
      <c r="J882" s="186"/>
      <c r="K882" s="185"/>
      <c r="L882" s="186"/>
      <c r="M882" s="36">
        <v>880000</v>
      </c>
      <c r="N882" s="37"/>
      <c r="O882" s="37" t="s">
        <v>34</v>
      </c>
      <c r="P882" s="47" t="str">
        <f>IF(AND('331-CT'!$F$5=TH!H882,OR(N882="331",O882="331")),"x","")</f>
        <v/>
      </c>
      <c r="Q882" s="47" t="str">
        <f>IF(AND(B882='111'!$L$11,OR($N882=$Q$7,$O882=$Q$7)),"x","")</f>
        <v/>
      </c>
      <c r="R882" s="47" t="str">
        <f>IF(AND($N882=$Q$7,$B882&lt;'111'!$L$11),"x","")</f>
        <v/>
      </c>
      <c r="S882" s="47" t="str">
        <f>IF(AND($O882=$Q$7,$B882&lt;'111'!$L$11),"x","")</f>
        <v>x</v>
      </c>
    </row>
    <row r="883" spans="1:19" ht="15.75" customHeight="1">
      <c r="A883" s="152" t="str">
        <f>IF(B883&lt;&gt;"",IF(AND(B883='IN-TC'!$S$4,OR(TH!N883="1111",TH!O883="1111")),TH!D883,""),"")</f>
        <v/>
      </c>
      <c r="B883" s="34">
        <f t="shared" si="30"/>
        <v>6</v>
      </c>
      <c r="C883" s="35">
        <f t="shared" si="31"/>
        <v>42534</v>
      </c>
      <c r="D883" s="212" t="s">
        <v>919</v>
      </c>
      <c r="E883" s="35">
        <v>42534</v>
      </c>
      <c r="F883" s="144" t="s">
        <v>700</v>
      </c>
      <c r="G883" s="191" t="s">
        <v>205</v>
      </c>
      <c r="H883" s="198"/>
      <c r="I883" s="186"/>
      <c r="J883" s="186"/>
      <c r="K883" s="185"/>
      <c r="L883" s="186"/>
      <c r="M883" s="36">
        <v>140000</v>
      </c>
      <c r="N883" s="37"/>
      <c r="O883" s="37" t="s">
        <v>34</v>
      </c>
      <c r="P883" s="47" t="str">
        <f>IF(AND('331-CT'!$F$5=TH!H883,OR(N883="331",O883="331")),"x","")</f>
        <v/>
      </c>
      <c r="Q883" s="47" t="str">
        <f>IF(AND(B883='111'!$L$11,OR($N883=$Q$7,$O883=$Q$7)),"x","")</f>
        <v/>
      </c>
      <c r="R883" s="47" t="str">
        <f>IF(AND($N883=$Q$7,$B883&lt;'111'!$L$11),"x","")</f>
        <v/>
      </c>
      <c r="S883" s="47" t="str">
        <f>IF(AND($O883=$Q$7,$B883&lt;'111'!$L$11),"x","")</f>
        <v>x</v>
      </c>
    </row>
    <row r="884" spans="1:19" ht="15.75" customHeight="1">
      <c r="A884" s="152" t="str">
        <f>IF(B884&lt;&gt;"",IF(AND(B884='IN-TC'!$S$4,OR(TH!N884="1111",TH!O884="1111")),TH!D884,""),"")</f>
        <v/>
      </c>
      <c r="B884" s="34">
        <f t="shared" si="30"/>
        <v>6</v>
      </c>
      <c r="C884" s="35">
        <f t="shared" si="31"/>
        <v>42534</v>
      </c>
      <c r="D884" s="212" t="s">
        <v>920</v>
      </c>
      <c r="E884" s="35">
        <v>42534</v>
      </c>
      <c r="F884" s="144" t="s">
        <v>719</v>
      </c>
      <c r="G884" s="191" t="s">
        <v>202</v>
      </c>
      <c r="H884" s="198"/>
      <c r="I884" s="186"/>
      <c r="J884" s="186"/>
      <c r="K884" s="185"/>
      <c r="L884" s="186"/>
      <c r="M884" s="36">
        <v>8159000</v>
      </c>
      <c r="N884" s="37"/>
      <c r="O884" s="37" t="s">
        <v>34</v>
      </c>
      <c r="P884" s="47" t="str">
        <f>IF(AND('331-CT'!$F$5=TH!H884,OR(N884="331",O884="331")),"x","")</f>
        <v/>
      </c>
      <c r="Q884" s="47" t="str">
        <f>IF(AND(B884='111'!$L$11,OR($N884=$Q$7,$O884=$Q$7)),"x","")</f>
        <v/>
      </c>
      <c r="R884" s="47" t="str">
        <f>IF(AND($N884=$Q$7,$B884&lt;'111'!$L$11),"x","")</f>
        <v/>
      </c>
      <c r="S884" s="47" t="str">
        <f>IF(AND($O884=$Q$7,$B884&lt;'111'!$L$11),"x","")</f>
        <v>x</v>
      </c>
    </row>
    <row r="885" spans="1:19" ht="15.75" customHeight="1">
      <c r="A885" s="152" t="str">
        <f>IF(B885&lt;&gt;"",IF(AND(B885='IN-TC'!$S$4,OR(TH!N885="1111",TH!O885="1111")),TH!D885,""),"")</f>
        <v/>
      </c>
      <c r="B885" s="34">
        <f t="shared" si="30"/>
        <v>6</v>
      </c>
      <c r="C885" s="35">
        <f t="shared" si="31"/>
        <v>42534</v>
      </c>
      <c r="D885" s="212" t="s">
        <v>921</v>
      </c>
      <c r="E885" s="35">
        <v>42534</v>
      </c>
      <c r="F885" s="144" t="s">
        <v>720</v>
      </c>
      <c r="G885" s="191" t="s">
        <v>205</v>
      </c>
      <c r="H885" s="198"/>
      <c r="I885" s="186"/>
      <c r="J885" s="186"/>
      <c r="K885" s="185"/>
      <c r="L885" s="186"/>
      <c r="M885" s="36">
        <v>300000</v>
      </c>
      <c r="N885" s="37"/>
      <c r="O885" s="37" t="s">
        <v>34</v>
      </c>
      <c r="P885" s="47" t="str">
        <f>IF(AND('331-CT'!$F$5=TH!H885,OR(N885="331",O885="331")),"x","")</f>
        <v/>
      </c>
      <c r="Q885" s="47" t="str">
        <f>IF(AND(B885='111'!$L$11,OR($N885=$Q$7,$O885=$Q$7)),"x","")</f>
        <v/>
      </c>
      <c r="R885" s="47" t="str">
        <f>IF(AND($N885=$Q$7,$B885&lt;'111'!$L$11),"x","")</f>
        <v/>
      </c>
      <c r="S885" s="47" t="str">
        <f>IF(AND($O885=$Q$7,$B885&lt;'111'!$L$11),"x","")</f>
        <v>x</v>
      </c>
    </row>
    <row r="886" spans="1:19" ht="15.75" customHeight="1">
      <c r="A886" s="152" t="str">
        <f>IF(B886&lt;&gt;"",IF(AND(B886='IN-TC'!$S$4,OR(TH!N886="1111",TH!O886="1111")),TH!D886,""),"")</f>
        <v/>
      </c>
      <c r="B886" s="34">
        <f t="shared" si="30"/>
        <v>6</v>
      </c>
      <c r="C886" s="35">
        <f t="shared" si="31"/>
        <v>42534</v>
      </c>
      <c r="D886" s="212"/>
      <c r="E886" s="35">
        <v>42534</v>
      </c>
      <c r="F886" s="144" t="s">
        <v>1467</v>
      </c>
      <c r="G886" s="191"/>
      <c r="H886" s="198" t="s">
        <v>831</v>
      </c>
      <c r="I886" s="186">
        <v>1380</v>
      </c>
      <c r="J886" s="186">
        <v>13000</v>
      </c>
      <c r="K886" s="185"/>
      <c r="L886" s="186"/>
      <c r="M886" s="36">
        <f>ROUND(I886*J886,0)</f>
        <v>17940000</v>
      </c>
      <c r="N886" s="37" t="s">
        <v>1443</v>
      </c>
      <c r="O886" s="37" t="s">
        <v>8</v>
      </c>
      <c r="P886" s="47" t="str">
        <f>IF(AND('331-CT'!$F$5=TH!H886,OR(N886="331",O886="331")),"x","")</f>
        <v/>
      </c>
      <c r="Q886" s="47" t="str">
        <f>IF(AND(B886='111'!$L$11,OR($N886=$Q$7,$O886=$Q$7)),"x","")</f>
        <v/>
      </c>
      <c r="R886" s="47" t="str">
        <f>IF(AND($N886=$Q$7,$B886&lt;'111'!$L$11),"x","")</f>
        <v/>
      </c>
      <c r="S886" s="47" t="str">
        <f>IF(AND($O886=$Q$7,$B886&lt;'111'!$L$11),"x","")</f>
        <v/>
      </c>
    </row>
    <row r="887" spans="1:19" ht="15.75" customHeight="1">
      <c r="A887" s="152" t="str">
        <f>IF(B887&lt;&gt;"",IF(AND(B887='IN-TC'!$S$4,OR(TH!N887="1111",TH!O887="1111")),TH!D887,""),"")</f>
        <v/>
      </c>
      <c r="B887" s="34">
        <f t="shared" si="30"/>
        <v>6</v>
      </c>
      <c r="C887" s="35">
        <f t="shared" si="31"/>
        <v>42535</v>
      </c>
      <c r="D887" s="212" t="s">
        <v>922</v>
      </c>
      <c r="E887" s="35">
        <v>42535</v>
      </c>
      <c r="F887" s="144" t="s">
        <v>247</v>
      </c>
      <c r="G887" s="191" t="s">
        <v>207</v>
      </c>
      <c r="H887" s="198"/>
      <c r="I887" s="186"/>
      <c r="J887" s="186"/>
      <c r="K887" s="185"/>
      <c r="L887" s="186"/>
      <c r="M887" s="36">
        <v>500000</v>
      </c>
      <c r="N887" s="37"/>
      <c r="O887" s="37" t="s">
        <v>34</v>
      </c>
      <c r="P887" s="47" t="str">
        <f>IF(AND('331-CT'!$F$5=TH!H887,OR(N887="331",O887="331")),"x","")</f>
        <v/>
      </c>
      <c r="Q887" s="47" t="str">
        <f>IF(AND(B887='111'!$L$11,OR($N887=$Q$7,$O887=$Q$7)),"x","")</f>
        <v/>
      </c>
      <c r="R887" s="47" t="str">
        <f>IF(AND($N887=$Q$7,$B887&lt;'111'!$L$11),"x","")</f>
        <v/>
      </c>
      <c r="S887" s="47" t="str">
        <f>IF(AND($O887=$Q$7,$B887&lt;'111'!$L$11),"x","")</f>
        <v>x</v>
      </c>
    </row>
    <row r="888" spans="1:19" ht="15.75" customHeight="1">
      <c r="A888" s="152" t="str">
        <f>IF(B888&lt;&gt;"",IF(AND(B888='IN-TC'!$S$4,OR(TH!N888="1111",TH!O888="1111")),TH!D888,""),"")</f>
        <v/>
      </c>
      <c r="B888" s="34">
        <f t="shared" si="30"/>
        <v>6</v>
      </c>
      <c r="C888" s="35">
        <f t="shared" si="31"/>
        <v>42535</v>
      </c>
      <c r="D888" s="212" t="s">
        <v>923</v>
      </c>
      <c r="E888" s="35">
        <v>42535</v>
      </c>
      <c r="F888" s="144" t="s">
        <v>721</v>
      </c>
      <c r="G888" s="191" t="s">
        <v>206</v>
      </c>
      <c r="H888" s="198" t="s">
        <v>817</v>
      </c>
      <c r="I888" s="186"/>
      <c r="J888" s="186"/>
      <c r="K888" s="185"/>
      <c r="L888" s="186"/>
      <c r="M888" s="36">
        <v>28856000</v>
      </c>
      <c r="N888" s="37" t="s">
        <v>8</v>
      </c>
      <c r="O888" s="37" t="s">
        <v>34</v>
      </c>
      <c r="P888" s="47" t="str">
        <f>IF(AND('331-CT'!$F$5=TH!H888,OR(N888="331",O888="331")),"x","")</f>
        <v/>
      </c>
      <c r="Q888" s="47" t="str">
        <f>IF(AND(B888='111'!$L$11,OR($N888=$Q$7,$O888=$Q$7)),"x","")</f>
        <v/>
      </c>
      <c r="R888" s="47" t="str">
        <f>IF(AND($N888=$Q$7,$B888&lt;'111'!$L$11),"x","")</f>
        <v/>
      </c>
      <c r="S888" s="47" t="str">
        <f>IF(AND($O888=$Q$7,$B888&lt;'111'!$L$11),"x","")</f>
        <v>x</v>
      </c>
    </row>
    <row r="889" spans="1:19" ht="15.75" customHeight="1">
      <c r="A889" s="152" t="str">
        <f>IF(B889&lt;&gt;"",IF(AND(B889='IN-TC'!$S$4,OR(TH!N889="1111",TH!O889="1111")),TH!D889,""),"")</f>
        <v/>
      </c>
      <c r="B889" s="34">
        <f t="shared" si="30"/>
        <v>6</v>
      </c>
      <c r="C889" s="35">
        <f t="shared" si="31"/>
        <v>42535</v>
      </c>
      <c r="D889" s="212" t="s">
        <v>924</v>
      </c>
      <c r="E889" s="35">
        <v>42535</v>
      </c>
      <c r="F889" s="144" t="s">
        <v>722</v>
      </c>
      <c r="G889" s="191" t="s">
        <v>227</v>
      </c>
      <c r="H889" s="198"/>
      <c r="I889" s="186"/>
      <c r="J889" s="186"/>
      <c r="K889" s="185"/>
      <c r="L889" s="186"/>
      <c r="M889" s="36">
        <v>990000</v>
      </c>
      <c r="N889" s="37"/>
      <c r="O889" s="37" t="s">
        <v>34</v>
      </c>
      <c r="P889" s="47" t="str">
        <f>IF(AND('331-CT'!$F$5=TH!H889,OR(N889="331",O889="331")),"x","")</f>
        <v/>
      </c>
      <c r="Q889" s="47" t="str">
        <f>IF(AND(B889='111'!$L$11,OR($N889=$Q$7,$O889=$Q$7)),"x","")</f>
        <v/>
      </c>
      <c r="R889" s="47" t="str">
        <f>IF(AND($N889=$Q$7,$B889&lt;'111'!$L$11),"x","")</f>
        <v/>
      </c>
      <c r="S889" s="47" t="str">
        <f>IF(AND($O889=$Q$7,$B889&lt;'111'!$L$11),"x","")</f>
        <v>x</v>
      </c>
    </row>
    <row r="890" spans="1:19" ht="15.75" customHeight="1">
      <c r="A890" s="152" t="str">
        <f>IF(B890&lt;&gt;"",IF(AND(B890='IN-TC'!$S$4,OR(TH!N890="1111",TH!O890="1111")),TH!D890,""),"")</f>
        <v/>
      </c>
      <c r="B890" s="34">
        <f t="shared" si="30"/>
        <v>6</v>
      </c>
      <c r="C890" s="35">
        <f t="shared" si="31"/>
        <v>42536</v>
      </c>
      <c r="D890" s="212" t="s">
        <v>1029</v>
      </c>
      <c r="E890" s="35">
        <v>42536</v>
      </c>
      <c r="F890" s="144" t="s">
        <v>177</v>
      </c>
      <c r="G890" s="191" t="s">
        <v>104</v>
      </c>
      <c r="H890" s="198"/>
      <c r="I890" s="186"/>
      <c r="J890" s="186"/>
      <c r="K890" s="185"/>
      <c r="L890" s="186"/>
      <c r="M890" s="36">
        <v>460000000</v>
      </c>
      <c r="N890" s="37" t="s">
        <v>34</v>
      </c>
      <c r="O890" s="37"/>
      <c r="P890" s="47" t="str">
        <f>IF(AND('331-CT'!$F$5=TH!H890,OR(N890="331",O890="331")),"x","")</f>
        <v/>
      </c>
      <c r="Q890" s="47" t="str">
        <f>IF(AND(B890='111'!$L$11,OR($N890=$Q$7,$O890=$Q$7)),"x","")</f>
        <v/>
      </c>
      <c r="R890" s="47" t="str">
        <f>IF(AND($N890=$Q$7,$B890&lt;'111'!$L$11),"x","")</f>
        <v>x</v>
      </c>
      <c r="S890" s="47" t="str">
        <f>IF(AND($O890=$Q$7,$B890&lt;'111'!$L$11),"x","")</f>
        <v/>
      </c>
    </row>
    <row r="891" spans="1:19" ht="15.75" customHeight="1">
      <c r="A891" s="152" t="str">
        <f>IF(B891&lt;&gt;"",IF(AND(B891='IN-TC'!$S$4,OR(TH!N891="1111",TH!O891="1111")),TH!D891,""),"")</f>
        <v/>
      </c>
      <c r="B891" s="34">
        <f t="shared" si="30"/>
        <v>6</v>
      </c>
      <c r="C891" s="35">
        <f t="shared" si="31"/>
        <v>42536</v>
      </c>
      <c r="D891" s="212" t="s">
        <v>925</v>
      </c>
      <c r="E891" s="35">
        <v>42536</v>
      </c>
      <c r="F891" s="144" t="s">
        <v>723</v>
      </c>
      <c r="G891" s="191" t="s">
        <v>205</v>
      </c>
      <c r="H891" s="198"/>
      <c r="I891" s="186"/>
      <c r="J891" s="186"/>
      <c r="K891" s="185"/>
      <c r="L891" s="186"/>
      <c r="M891" s="36">
        <v>230000</v>
      </c>
      <c r="N891" s="37"/>
      <c r="O891" s="37" t="s">
        <v>34</v>
      </c>
      <c r="P891" s="47" t="str">
        <f>IF(AND('331-CT'!$F$5=TH!H891,OR(N891="331",O891="331")),"x","")</f>
        <v/>
      </c>
      <c r="Q891" s="47" t="str">
        <f>IF(AND(B891='111'!$L$11,OR($N891=$Q$7,$O891=$Q$7)),"x","")</f>
        <v/>
      </c>
      <c r="R891" s="47" t="str">
        <f>IF(AND($N891=$Q$7,$B891&lt;'111'!$L$11),"x","")</f>
        <v/>
      </c>
      <c r="S891" s="47" t="str">
        <f>IF(AND($O891=$Q$7,$B891&lt;'111'!$L$11),"x","")</f>
        <v>x</v>
      </c>
    </row>
    <row r="892" spans="1:19" ht="15.75" customHeight="1">
      <c r="A892" s="152" t="str">
        <f>IF(B892&lt;&gt;"",IF(AND(B892='IN-TC'!$S$4,OR(TH!N892="1111",TH!O892="1111")),TH!D892,""),"")</f>
        <v/>
      </c>
      <c r="B892" s="34">
        <f t="shared" si="30"/>
        <v>6</v>
      </c>
      <c r="C892" s="35">
        <f t="shared" si="31"/>
        <v>42536</v>
      </c>
      <c r="D892" s="212" t="s">
        <v>926</v>
      </c>
      <c r="E892" s="35">
        <v>42536</v>
      </c>
      <c r="F892" s="144" t="s">
        <v>724</v>
      </c>
      <c r="G892" s="191" t="s">
        <v>202</v>
      </c>
      <c r="H892" s="198"/>
      <c r="I892" s="186"/>
      <c r="J892" s="186"/>
      <c r="K892" s="185"/>
      <c r="L892" s="186"/>
      <c r="M892" s="36">
        <v>2162000</v>
      </c>
      <c r="N892" s="37"/>
      <c r="O892" s="37" t="s">
        <v>34</v>
      </c>
      <c r="P892" s="47" t="str">
        <f>IF(AND('331-CT'!$F$5=TH!H892,OR(N892="331",O892="331")),"x","")</f>
        <v/>
      </c>
      <c r="Q892" s="47" t="str">
        <f>IF(AND(B892='111'!$L$11,OR($N892=$Q$7,$O892=$Q$7)),"x","")</f>
        <v/>
      </c>
      <c r="R892" s="47" t="str">
        <f>IF(AND($N892=$Q$7,$B892&lt;'111'!$L$11),"x","")</f>
        <v/>
      </c>
      <c r="S892" s="47" t="str">
        <f>IF(AND($O892=$Q$7,$B892&lt;'111'!$L$11),"x","")</f>
        <v>x</v>
      </c>
    </row>
    <row r="893" spans="1:19" ht="15.75" customHeight="1">
      <c r="A893" s="152" t="str">
        <f>IF(B893&lt;&gt;"",IF(AND(B893='IN-TC'!$S$4,OR(TH!N893="1111",TH!O893="1111")),TH!D893,""),"")</f>
        <v/>
      </c>
      <c r="B893" s="34">
        <f t="shared" si="30"/>
        <v>6</v>
      </c>
      <c r="C893" s="35">
        <f t="shared" si="31"/>
        <v>42536</v>
      </c>
      <c r="D893" s="212" t="s">
        <v>927</v>
      </c>
      <c r="E893" s="35">
        <v>42536</v>
      </c>
      <c r="F893" s="144" t="s">
        <v>725</v>
      </c>
      <c r="G893" s="191" t="s">
        <v>229</v>
      </c>
      <c r="H893" s="198"/>
      <c r="I893" s="186"/>
      <c r="J893" s="186"/>
      <c r="K893" s="185"/>
      <c r="L893" s="186"/>
      <c r="M893" s="36">
        <v>1250000</v>
      </c>
      <c r="N893" s="37"/>
      <c r="O893" s="37" t="s">
        <v>34</v>
      </c>
      <c r="P893" s="47" t="str">
        <f>IF(AND('331-CT'!$F$5=TH!H893,OR(N893="331",O893="331")),"x","")</f>
        <v/>
      </c>
      <c r="Q893" s="47" t="str">
        <f>IF(AND(B893='111'!$L$11,OR($N893=$Q$7,$O893=$Q$7)),"x","")</f>
        <v/>
      </c>
      <c r="R893" s="47" t="str">
        <f>IF(AND($N893=$Q$7,$B893&lt;'111'!$L$11),"x","")</f>
        <v/>
      </c>
      <c r="S893" s="47" t="str">
        <f>IF(AND($O893=$Q$7,$B893&lt;'111'!$L$11),"x","")</f>
        <v>x</v>
      </c>
    </row>
    <row r="894" spans="1:19" ht="15.75" customHeight="1">
      <c r="A894" s="152" t="str">
        <f>IF(B894&lt;&gt;"",IF(AND(B894='IN-TC'!$S$4,OR(TH!N894="1111",TH!O894="1111")),TH!D894,""),"")</f>
        <v/>
      </c>
      <c r="B894" s="34">
        <f t="shared" si="30"/>
        <v>6</v>
      </c>
      <c r="C894" s="35">
        <f t="shared" si="31"/>
        <v>42536</v>
      </c>
      <c r="D894" s="212" t="s">
        <v>928</v>
      </c>
      <c r="E894" s="35">
        <v>42536</v>
      </c>
      <c r="F894" s="144" t="s">
        <v>726</v>
      </c>
      <c r="G894" s="191" t="s">
        <v>204</v>
      </c>
      <c r="H894" s="198"/>
      <c r="I894" s="186"/>
      <c r="J894" s="186"/>
      <c r="K894" s="185"/>
      <c r="L894" s="186"/>
      <c r="M894" s="36">
        <v>440000000</v>
      </c>
      <c r="N894" s="37"/>
      <c r="O894" s="37" t="s">
        <v>34</v>
      </c>
      <c r="P894" s="47" t="str">
        <f>IF(AND('331-CT'!$F$5=TH!H894,OR(N894="331",O894="331")),"x","")</f>
        <v/>
      </c>
      <c r="Q894" s="47" t="str">
        <f>IF(AND(B894='111'!$L$11,OR($N894=$Q$7,$O894=$Q$7)),"x","")</f>
        <v/>
      </c>
      <c r="R894" s="47" t="str">
        <f>IF(AND($N894=$Q$7,$B894&lt;'111'!$L$11),"x","")</f>
        <v/>
      </c>
      <c r="S894" s="47" t="str">
        <f>IF(AND($O894=$Q$7,$B894&lt;'111'!$L$11),"x","")</f>
        <v>x</v>
      </c>
    </row>
    <row r="895" spans="1:19" ht="15.75" customHeight="1">
      <c r="A895" s="152" t="str">
        <f>IF(B895&lt;&gt;"",IF(AND(B895='IN-TC'!$S$4,OR(TH!N895="1111",TH!O895="1111")),TH!D895,""),"")</f>
        <v/>
      </c>
      <c r="B895" s="34">
        <f t="shared" si="30"/>
        <v>6</v>
      </c>
      <c r="C895" s="35">
        <f t="shared" si="31"/>
        <v>42536</v>
      </c>
      <c r="D895" s="212" t="s">
        <v>929</v>
      </c>
      <c r="E895" s="35">
        <v>42536</v>
      </c>
      <c r="F895" s="144" t="s">
        <v>727</v>
      </c>
      <c r="G895" s="191" t="s">
        <v>205</v>
      </c>
      <c r="H895" s="198"/>
      <c r="I895" s="186"/>
      <c r="J895" s="186"/>
      <c r="K895" s="185"/>
      <c r="L895" s="186"/>
      <c r="M895" s="36">
        <v>514000</v>
      </c>
      <c r="N895" s="37"/>
      <c r="O895" s="37" t="s">
        <v>34</v>
      </c>
      <c r="P895" s="47" t="str">
        <f>IF(AND('331-CT'!$F$5=TH!H895,OR(N895="331",O895="331")),"x","")</f>
        <v/>
      </c>
      <c r="Q895" s="47" t="str">
        <f>IF(AND(B895='111'!$L$11,OR($N895=$Q$7,$O895=$Q$7)),"x","")</f>
        <v/>
      </c>
      <c r="R895" s="47" t="str">
        <f>IF(AND($N895=$Q$7,$B895&lt;'111'!$L$11),"x","")</f>
        <v/>
      </c>
      <c r="S895" s="47" t="str">
        <f>IF(AND($O895=$Q$7,$B895&lt;'111'!$L$11),"x","")</f>
        <v>x</v>
      </c>
    </row>
    <row r="896" spans="1:19" ht="15.75" customHeight="1">
      <c r="A896" s="152" t="str">
        <f>IF(B896&lt;&gt;"",IF(AND(B896='IN-TC'!$S$4,OR(TH!N896="1111",TH!O896="1111")),TH!D896,""),"")</f>
        <v/>
      </c>
      <c r="B896" s="34">
        <f t="shared" si="30"/>
        <v>6</v>
      </c>
      <c r="C896" s="35">
        <f t="shared" si="31"/>
        <v>42536</v>
      </c>
      <c r="D896" s="212" t="s">
        <v>940</v>
      </c>
      <c r="E896" s="35">
        <v>42536</v>
      </c>
      <c r="F896" s="144" t="s">
        <v>728</v>
      </c>
      <c r="G896" s="191" t="s">
        <v>205</v>
      </c>
      <c r="H896" s="198"/>
      <c r="I896" s="186"/>
      <c r="J896" s="186"/>
      <c r="K896" s="185"/>
      <c r="L896" s="186"/>
      <c r="M896" s="36">
        <v>17655000</v>
      </c>
      <c r="N896" s="37"/>
      <c r="O896" s="37" t="s">
        <v>34</v>
      </c>
      <c r="P896" s="47" t="str">
        <f>IF(AND('331-CT'!$F$5=TH!H896,OR(N896="331",O896="331")),"x","")</f>
        <v/>
      </c>
      <c r="Q896" s="47" t="str">
        <f>IF(AND(B896='111'!$L$11,OR($N896=$Q$7,$O896=$Q$7)),"x","")</f>
        <v/>
      </c>
      <c r="R896" s="47" t="str">
        <f>IF(AND($N896=$Q$7,$B896&lt;'111'!$L$11),"x","")</f>
        <v/>
      </c>
      <c r="S896" s="47" t="str">
        <f>IF(AND($O896=$Q$7,$B896&lt;'111'!$L$11),"x","")</f>
        <v>x</v>
      </c>
    </row>
    <row r="897" spans="1:19" ht="15.75" customHeight="1">
      <c r="A897" s="152" t="str">
        <f>IF(B897&lt;&gt;"",IF(AND(B897='IN-TC'!$S$4,OR(TH!N897="1111",TH!O897="1111")),TH!D897,""),"")</f>
        <v/>
      </c>
      <c r="B897" s="34">
        <f t="shared" si="30"/>
        <v>6</v>
      </c>
      <c r="C897" s="35">
        <f t="shared" si="31"/>
        <v>42536</v>
      </c>
      <c r="D897" s="212"/>
      <c r="E897" s="35">
        <v>42536</v>
      </c>
      <c r="F897" s="144" t="s">
        <v>1467</v>
      </c>
      <c r="G897" s="191"/>
      <c r="H897" s="198" t="s">
        <v>831</v>
      </c>
      <c r="I897" s="186">
        <v>1080</v>
      </c>
      <c r="J897" s="186">
        <v>13000</v>
      </c>
      <c r="K897" s="185"/>
      <c r="L897" s="186"/>
      <c r="M897" s="36">
        <f>ROUND(I897*J897,0)</f>
        <v>14040000</v>
      </c>
      <c r="N897" s="37" t="s">
        <v>1443</v>
      </c>
      <c r="O897" s="37" t="s">
        <v>8</v>
      </c>
      <c r="P897" s="47" t="str">
        <f>IF(AND('331-CT'!$F$5=TH!H897,OR(N897="331",O897="331")),"x","")</f>
        <v/>
      </c>
      <c r="Q897" s="47" t="str">
        <f>IF(AND(B897='111'!$L$11,OR($N897=$Q$7,$O897=$Q$7)),"x","")</f>
        <v/>
      </c>
      <c r="R897" s="47" t="str">
        <f>IF(AND($N897=$Q$7,$B897&lt;'111'!$L$11),"x","")</f>
        <v/>
      </c>
      <c r="S897" s="47" t="str">
        <f>IF(AND($O897=$Q$7,$B897&lt;'111'!$L$11),"x","")</f>
        <v/>
      </c>
    </row>
    <row r="898" spans="1:19" ht="15.75" customHeight="1">
      <c r="A898" s="152" t="str">
        <f>IF(B898&lt;&gt;"",IF(AND(B898='IN-TC'!$S$4,OR(TH!N898="1111",TH!O898="1111")),TH!D898,""),"")</f>
        <v/>
      </c>
      <c r="B898" s="34">
        <f t="shared" si="30"/>
        <v>6</v>
      </c>
      <c r="C898" s="35">
        <f t="shared" si="31"/>
        <v>42537</v>
      </c>
      <c r="D898" s="212"/>
      <c r="E898" s="35">
        <v>42537</v>
      </c>
      <c r="F898" s="144" t="s">
        <v>1467</v>
      </c>
      <c r="G898" s="191"/>
      <c r="H898" s="198" t="s">
        <v>831</v>
      </c>
      <c r="I898" s="186">
        <v>1060</v>
      </c>
      <c r="J898" s="186">
        <v>12000</v>
      </c>
      <c r="K898" s="185"/>
      <c r="L898" s="186"/>
      <c r="M898" s="36">
        <f>ROUND(I898*J898,0)</f>
        <v>12720000</v>
      </c>
      <c r="N898" s="37" t="s">
        <v>1443</v>
      </c>
      <c r="O898" s="37" t="s">
        <v>8</v>
      </c>
      <c r="P898" s="47" t="str">
        <f>IF(AND('331-CT'!$F$5=TH!H898,OR(N898="331",O898="331")),"x","")</f>
        <v/>
      </c>
      <c r="Q898" s="47" t="str">
        <f>IF(AND(B898='111'!$L$11,OR($N898=$Q$7,$O898=$Q$7)),"x","")</f>
        <v/>
      </c>
      <c r="R898" s="47" t="str">
        <f>IF(AND($N898=$Q$7,$B898&lt;'111'!$L$11),"x","")</f>
        <v/>
      </c>
      <c r="S898" s="47" t="str">
        <f>IF(AND($O898=$Q$7,$B898&lt;'111'!$L$11),"x","")</f>
        <v/>
      </c>
    </row>
    <row r="899" spans="1:19" ht="15.75" customHeight="1">
      <c r="A899" s="152" t="str">
        <f>IF(B899&lt;&gt;"",IF(AND(B899='IN-TC'!$S$4,OR(TH!N899="1111",TH!O899="1111")),TH!D899,""),"")</f>
        <v/>
      </c>
      <c r="B899" s="34">
        <f t="shared" si="30"/>
        <v>6</v>
      </c>
      <c r="C899" s="35">
        <f t="shared" si="31"/>
        <v>42537</v>
      </c>
      <c r="D899" s="212"/>
      <c r="E899" s="35">
        <v>42537</v>
      </c>
      <c r="F899" s="144" t="s">
        <v>1467</v>
      </c>
      <c r="G899" s="191"/>
      <c r="H899" s="198" t="s">
        <v>831</v>
      </c>
      <c r="I899" s="186">
        <v>1000</v>
      </c>
      <c r="J899" s="186">
        <v>11000</v>
      </c>
      <c r="K899" s="185"/>
      <c r="L899" s="186"/>
      <c r="M899" s="36">
        <f>ROUND(I899*J899,0)</f>
        <v>11000000</v>
      </c>
      <c r="N899" s="37" t="s">
        <v>1443</v>
      </c>
      <c r="O899" s="37" t="s">
        <v>8</v>
      </c>
      <c r="P899" s="47" t="str">
        <f>IF(AND('331-CT'!$F$5=TH!H899,OR(N899="331",O899="331")),"x","")</f>
        <v/>
      </c>
      <c r="Q899" s="47" t="str">
        <f>IF(AND(B899='111'!$L$11,OR($N899=$Q$7,$O899=$Q$7)),"x","")</f>
        <v/>
      </c>
      <c r="R899" s="47" t="str">
        <f>IF(AND($N899=$Q$7,$B899&lt;'111'!$L$11),"x","")</f>
        <v/>
      </c>
      <c r="S899" s="47" t="str">
        <f>IF(AND($O899=$Q$7,$B899&lt;'111'!$L$11),"x","")</f>
        <v/>
      </c>
    </row>
    <row r="900" spans="1:19" ht="15.75" customHeight="1">
      <c r="A900" s="152" t="str">
        <f>IF(B900&lt;&gt;"",IF(AND(B900='IN-TC'!$S$4,OR(TH!N900="1111",TH!O900="1111")),TH!D900,""),"")</f>
        <v/>
      </c>
      <c r="B900" s="34">
        <f t="shared" si="30"/>
        <v>6</v>
      </c>
      <c r="C900" s="35">
        <f t="shared" si="31"/>
        <v>42537</v>
      </c>
      <c r="D900" s="212"/>
      <c r="E900" s="35">
        <v>42537</v>
      </c>
      <c r="F900" s="144" t="s">
        <v>1469</v>
      </c>
      <c r="G900" s="191" t="s">
        <v>204</v>
      </c>
      <c r="H900" s="198" t="s">
        <v>828</v>
      </c>
      <c r="I900" s="186">
        <v>125</v>
      </c>
      <c r="J900" s="186">
        <v>15000</v>
      </c>
      <c r="K900" s="185"/>
      <c r="L900" s="186"/>
      <c r="M900" s="36">
        <f>ROUND(I900*J900,-3)</f>
        <v>1875000</v>
      </c>
      <c r="N900" s="37" t="s">
        <v>1443</v>
      </c>
      <c r="O900" s="37" t="s">
        <v>8</v>
      </c>
      <c r="P900" s="47" t="str">
        <f>IF(AND('331-CT'!$F$5=TH!H900,OR(N900="331",O900="331")),"x","")</f>
        <v/>
      </c>
      <c r="Q900" s="47" t="str">
        <f>IF(AND(B900='111'!$L$11,OR($N900=$Q$7,$O900=$Q$7)),"x","")</f>
        <v/>
      </c>
      <c r="R900" s="47" t="str">
        <f>IF(AND($N900=$Q$7,$B900&lt;'111'!$L$11),"x","")</f>
        <v/>
      </c>
      <c r="S900" s="47" t="str">
        <f>IF(AND($O900=$Q$7,$B900&lt;'111'!$L$11),"x","")</f>
        <v/>
      </c>
    </row>
    <row r="901" spans="1:19" ht="15.75" customHeight="1">
      <c r="A901" s="152" t="str">
        <f>IF(B901&lt;&gt;"",IF(AND(B901='IN-TC'!$S$4,OR(TH!N901="1111",TH!O901="1111")),TH!D901,""),"")</f>
        <v/>
      </c>
      <c r="B901" s="34">
        <f t="shared" si="30"/>
        <v>6</v>
      </c>
      <c r="C901" s="35">
        <f t="shared" si="31"/>
        <v>42537</v>
      </c>
      <c r="D901" s="212"/>
      <c r="E901" s="35">
        <v>42537</v>
      </c>
      <c r="F901" s="144" t="s">
        <v>1496</v>
      </c>
      <c r="G901" s="191" t="s">
        <v>204</v>
      </c>
      <c r="H901" s="198" t="s">
        <v>828</v>
      </c>
      <c r="I901" s="186">
        <v>386</v>
      </c>
      <c r="J901" s="186">
        <v>15000</v>
      </c>
      <c r="K901" s="185"/>
      <c r="L901" s="186"/>
      <c r="M901" s="36">
        <f>ROUND(I901*J901,-3)-60000</f>
        <v>5730000</v>
      </c>
      <c r="N901" s="37" t="s">
        <v>1443</v>
      </c>
      <c r="O901" s="37" t="s">
        <v>8</v>
      </c>
      <c r="P901" s="47" t="str">
        <f>IF(AND('331-CT'!$F$5=TH!H901,OR(N901="331",O901="331")),"x","")</f>
        <v/>
      </c>
      <c r="Q901" s="47" t="str">
        <f>IF(AND(B901='111'!$L$11,OR($N901=$Q$7,$O901=$Q$7)),"x","")</f>
        <v/>
      </c>
      <c r="R901" s="47" t="str">
        <f>IF(AND($N901=$Q$7,$B901&lt;'111'!$L$11),"x","")</f>
        <v/>
      </c>
      <c r="S901" s="47" t="str">
        <f>IF(AND($O901=$Q$7,$B901&lt;'111'!$L$11),"x","")</f>
        <v/>
      </c>
    </row>
    <row r="902" spans="1:19" ht="15.75" customHeight="1">
      <c r="A902" s="152" t="str">
        <f>IF(B902&lt;&gt;"",IF(AND(B902='IN-TC'!$S$4,OR(TH!N902="1111",TH!O902="1111")),TH!D902,""),"")</f>
        <v/>
      </c>
      <c r="B902" s="34">
        <f t="shared" si="30"/>
        <v>6</v>
      </c>
      <c r="C902" s="35">
        <f t="shared" si="31"/>
        <v>42538</v>
      </c>
      <c r="D902" s="212" t="s">
        <v>1030</v>
      </c>
      <c r="E902" s="35">
        <v>42538</v>
      </c>
      <c r="F902" s="144" t="s">
        <v>177</v>
      </c>
      <c r="G902" s="191" t="s">
        <v>104</v>
      </c>
      <c r="H902" s="198"/>
      <c r="I902" s="186"/>
      <c r="J902" s="186"/>
      <c r="K902" s="185"/>
      <c r="L902" s="186"/>
      <c r="M902" s="36">
        <v>40000000</v>
      </c>
      <c r="N902" s="37" t="s">
        <v>34</v>
      </c>
      <c r="O902" s="37"/>
      <c r="P902" s="47" t="str">
        <f>IF(AND('331-CT'!$F$5=TH!H902,OR(N902="331",O902="331")),"x","")</f>
        <v/>
      </c>
      <c r="Q902" s="47" t="str">
        <f>IF(AND(B902='111'!$L$11,OR($N902=$Q$7,$O902=$Q$7)),"x","")</f>
        <v/>
      </c>
      <c r="R902" s="47" t="str">
        <f>IF(AND($N902=$Q$7,$B902&lt;'111'!$L$11),"x","")</f>
        <v>x</v>
      </c>
      <c r="S902" s="47" t="str">
        <f>IF(AND($O902=$Q$7,$B902&lt;'111'!$L$11),"x","")</f>
        <v/>
      </c>
    </row>
    <row r="903" spans="1:19" ht="15.75" customHeight="1">
      <c r="A903" s="152" t="str">
        <f>IF(B903&lt;&gt;"",IF(AND(B903='IN-TC'!$S$4,OR(TH!N903="1111",TH!O903="1111")),TH!D903,""),"")</f>
        <v/>
      </c>
      <c r="B903" s="34">
        <f t="shared" si="30"/>
        <v>6</v>
      </c>
      <c r="C903" s="35">
        <f t="shared" si="31"/>
        <v>42538</v>
      </c>
      <c r="D903" s="212" t="s">
        <v>941</v>
      </c>
      <c r="E903" s="35">
        <v>42538</v>
      </c>
      <c r="F903" s="144" t="s">
        <v>268</v>
      </c>
      <c r="G903" s="191" t="s">
        <v>117</v>
      </c>
      <c r="H903" s="198"/>
      <c r="I903" s="186"/>
      <c r="J903" s="186"/>
      <c r="K903" s="185"/>
      <c r="L903" s="186"/>
      <c r="M903" s="36">
        <v>5000000</v>
      </c>
      <c r="N903" s="37"/>
      <c r="O903" s="37" t="s">
        <v>34</v>
      </c>
      <c r="P903" s="47" t="str">
        <f>IF(AND('331-CT'!$F$5=TH!H903,OR(N903="331",O903="331")),"x","")</f>
        <v/>
      </c>
      <c r="Q903" s="47" t="str">
        <f>IF(AND(B903='111'!$L$11,OR($N903=$Q$7,$O903=$Q$7)),"x","")</f>
        <v/>
      </c>
      <c r="R903" s="47" t="str">
        <f>IF(AND($N903=$Q$7,$B903&lt;'111'!$L$11),"x","")</f>
        <v/>
      </c>
      <c r="S903" s="47" t="str">
        <f>IF(AND($O903=$Q$7,$B903&lt;'111'!$L$11),"x","")</f>
        <v>x</v>
      </c>
    </row>
    <row r="904" spans="1:19" ht="15.75" customHeight="1">
      <c r="A904" s="152" t="str">
        <f>IF(B904&lt;&gt;"",IF(AND(B904='IN-TC'!$S$4,OR(TH!N904="1111",TH!O904="1111")),TH!D904,""),"")</f>
        <v/>
      </c>
      <c r="B904" s="34">
        <f t="shared" si="30"/>
        <v>6</v>
      </c>
      <c r="C904" s="35">
        <f t="shared" si="31"/>
        <v>42538</v>
      </c>
      <c r="D904" s="212" t="s">
        <v>942</v>
      </c>
      <c r="E904" s="35">
        <v>42538</v>
      </c>
      <c r="F904" s="144" t="s">
        <v>729</v>
      </c>
      <c r="G904" s="191" t="s">
        <v>204</v>
      </c>
      <c r="H904" s="198"/>
      <c r="I904" s="186"/>
      <c r="J904" s="186"/>
      <c r="K904" s="185"/>
      <c r="L904" s="186"/>
      <c r="M904" s="36">
        <v>50000000</v>
      </c>
      <c r="N904" s="37"/>
      <c r="O904" s="37" t="s">
        <v>34</v>
      </c>
      <c r="P904" s="47" t="str">
        <f>IF(AND('331-CT'!$F$5=TH!H904,OR(N904="331",O904="331")),"x","")</f>
        <v/>
      </c>
      <c r="Q904" s="47" t="str">
        <f>IF(AND(B904='111'!$L$11,OR($N904=$Q$7,$O904=$Q$7)),"x","")</f>
        <v/>
      </c>
      <c r="R904" s="47" t="str">
        <f>IF(AND($N904=$Q$7,$B904&lt;'111'!$L$11),"x","")</f>
        <v/>
      </c>
      <c r="S904" s="47" t="str">
        <f>IF(AND($O904=$Q$7,$B904&lt;'111'!$L$11),"x","")</f>
        <v>x</v>
      </c>
    </row>
    <row r="905" spans="1:19" ht="15.75" customHeight="1">
      <c r="A905" s="152" t="str">
        <f>IF(B905&lt;&gt;"",IF(AND(B905='IN-TC'!$S$4,OR(TH!N905="1111",TH!O905="1111")),TH!D905,""),"")</f>
        <v/>
      </c>
      <c r="B905" s="34">
        <f t="shared" si="30"/>
        <v>6</v>
      </c>
      <c r="C905" s="35">
        <f t="shared" si="31"/>
        <v>42538</v>
      </c>
      <c r="D905" s="212" t="s">
        <v>943</v>
      </c>
      <c r="E905" s="35">
        <v>42538</v>
      </c>
      <c r="F905" s="144" t="s">
        <v>671</v>
      </c>
      <c r="G905" s="191" t="s">
        <v>207</v>
      </c>
      <c r="H905" s="198"/>
      <c r="I905" s="186"/>
      <c r="J905" s="186"/>
      <c r="K905" s="185"/>
      <c r="L905" s="186"/>
      <c r="M905" s="36">
        <v>1000000</v>
      </c>
      <c r="N905" s="37"/>
      <c r="O905" s="37" t="s">
        <v>34</v>
      </c>
      <c r="P905" s="47" t="str">
        <f>IF(AND('331-CT'!$F$5=TH!H905,OR(N905="331",O905="331")),"x","")</f>
        <v/>
      </c>
      <c r="Q905" s="47" t="str">
        <f>IF(AND(B905='111'!$L$11,OR($N905=$Q$7,$O905=$Q$7)),"x","")</f>
        <v/>
      </c>
      <c r="R905" s="47" t="str">
        <f>IF(AND($N905=$Q$7,$B905&lt;'111'!$L$11),"x","")</f>
        <v/>
      </c>
      <c r="S905" s="47" t="str">
        <f>IF(AND($O905=$Q$7,$B905&lt;'111'!$L$11),"x","")</f>
        <v>x</v>
      </c>
    </row>
    <row r="906" spans="1:19" ht="15.75" customHeight="1">
      <c r="A906" s="152" t="str">
        <f>IF(B906&lt;&gt;"",IF(AND(B906='IN-TC'!$S$4,OR(TH!N906="1111",TH!O906="1111")),TH!D906,""),"")</f>
        <v/>
      </c>
      <c r="B906" s="34">
        <f t="shared" si="30"/>
        <v>6</v>
      </c>
      <c r="C906" s="35">
        <f t="shared" si="31"/>
        <v>42538</v>
      </c>
      <c r="D906" s="212"/>
      <c r="E906" s="35">
        <v>42538</v>
      </c>
      <c r="F906" s="144" t="s">
        <v>1467</v>
      </c>
      <c r="G906" s="191"/>
      <c r="H906" s="198" t="s">
        <v>831</v>
      </c>
      <c r="I906" s="186">
        <v>1090</v>
      </c>
      <c r="J906" s="186">
        <v>12000</v>
      </c>
      <c r="K906" s="185"/>
      <c r="L906" s="186"/>
      <c r="M906" s="36">
        <f>ROUND(I906*J906,0)</f>
        <v>13080000</v>
      </c>
      <c r="N906" s="37" t="s">
        <v>1443</v>
      </c>
      <c r="O906" s="37" t="s">
        <v>8</v>
      </c>
      <c r="P906" s="47" t="str">
        <f>IF(AND('331-CT'!$F$5=TH!H906,OR(N906="331",O906="331")),"x","")</f>
        <v/>
      </c>
      <c r="Q906" s="47" t="str">
        <f>IF(AND(B906='111'!$L$11,OR($N906=$Q$7,$O906=$Q$7)),"x","")</f>
        <v/>
      </c>
      <c r="R906" s="47" t="str">
        <f>IF(AND($N906=$Q$7,$B906&lt;'111'!$L$11),"x","")</f>
        <v/>
      </c>
      <c r="S906" s="47" t="str">
        <f>IF(AND($O906=$Q$7,$B906&lt;'111'!$L$11),"x","")</f>
        <v/>
      </c>
    </row>
    <row r="907" spans="1:19" ht="15.75" customHeight="1">
      <c r="A907" s="152" t="str">
        <f>IF(B907&lt;&gt;"",IF(AND(B907='IN-TC'!$S$4,OR(TH!N907="1111",TH!O907="1111")),TH!D907,""),"")</f>
        <v/>
      </c>
      <c r="B907" s="34">
        <f t="shared" si="30"/>
        <v>6</v>
      </c>
      <c r="C907" s="35">
        <f t="shared" si="31"/>
        <v>42538</v>
      </c>
      <c r="D907" s="212"/>
      <c r="E907" s="35">
        <v>42538</v>
      </c>
      <c r="F907" s="144" t="s">
        <v>1466</v>
      </c>
      <c r="G907" s="191" t="s">
        <v>204</v>
      </c>
      <c r="H907" s="198" t="s">
        <v>832</v>
      </c>
      <c r="I907" s="186">
        <v>873</v>
      </c>
      <c r="J907" s="186">
        <v>15000</v>
      </c>
      <c r="K907" s="185"/>
      <c r="L907" s="186"/>
      <c r="M907" s="36">
        <f>ROUND(I907*J907,0)</f>
        <v>13095000</v>
      </c>
      <c r="N907" s="37" t="s">
        <v>1443</v>
      </c>
      <c r="O907" s="37" t="s">
        <v>8</v>
      </c>
      <c r="P907" s="47" t="str">
        <f>IF(AND('331-CT'!$F$5=TH!H907,OR(N907="331",O907="331")),"x","")</f>
        <v/>
      </c>
      <c r="Q907" s="47" t="str">
        <f>IF(AND(B907='111'!$L$11,OR($N907=$Q$7,$O907=$Q$7)),"x","")</f>
        <v/>
      </c>
      <c r="R907" s="47" t="str">
        <f>IF(AND($N907=$Q$7,$B907&lt;'111'!$L$11),"x","")</f>
        <v/>
      </c>
      <c r="S907" s="47" t="str">
        <f>IF(AND($O907=$Q$7,$B907&lt;'111'!$L$11),"x","")</f>
        <v/>
      </c>
    </row>
    <row r="908" spans="1:19" ht="15.75" customHeight="1">
      <c r="A908" s="152" t="str">
        <f>IF(B908&lt;&gt;"",IF(AND(B908='IN-TC'!$S$4,OR(TH!N908="1111",TH!O908="1111")),TH!D908,""),"")</f>
        <v/>
      </c>
      <c r="B908" s="34">
        <f t="shared" si="30"/>
        <v>6</v>
      </c>
      <c r="C908" s="35">
        <f t="shared" si="31"/>
        <v>42538</v>
      </c>
      <c r="D908" s="212"/>
      <c r="E908" s="35">
        <v>42538</v>
      </c>
      <c r="F908" s="144" t="s">
        <v>1473</v>
      </c>
      <c r="G908" s="191" t="s">
        <v>204</v>
      </c>
      <c r="H908" s="198" t="s">
        <v>832</v>
      </c>
      <c r="I908" s="186">
        <v>105</v>
      </c>
      <c r="J908" s="186">
        <v>21000</v>
      </c>
      <c r="K908" s="185"/>
      <c r="L908" s="186"/>
      <c r="M908" s="36">
        <f>ROUND(I908*J908,0)</f>
        <v>2205000</v>
      </c>
      <c r="N908" s="37" t="s">
        <v>1443</v>
      </c>
      <c r="O908" s="37" t="s">
        <v>8</v>
      </c>
      <c r="P908" s="47" t="str">
        <f>IF(AND('331-CT'!$F$5=TH!H908,OR(N908="331",O908="331")),"x","")</f>
        <v/>
      </c>
      <c r="Q908" s="47" t="str">
        <f>IF(AND(B908='111'!$L$11,OR($N908=$Q$7,$O908=$Q$7)),"x","")</f>
        <v/>
      </c>
      <c r="R908" s="47" t="str">
        <f>IF(AND($N908=$Q$7,$B908&lt;'111'!$L$11),"x","")</f>
        <v/>
      </c>
      <c r="S908" s="47" t="str">
        <f>IF(AND($O908=$Q$7,$B908&lt;'111'!$L$11),"x","")</f>
        <v/>
      </c>
    </row>
    <row r="909" spans="1:19" ht="15.75" customHeight="1">
      <c r="A909" s="152" t="str">
        <f>IF(B909&lt;&gt;"",IF(AND(B909='IN-TC'!$S$4,OR(TH!N909="1111",TH!O909="1111")),TH!D909,""),"")</f>
        <v/>
      </c>
      <c r="B909" s="34">
        <f t="shared" ref="B909:B972" si="32">IF(C909&lt;&gt;"",MONTH(C909),"")</f>
        <v>6</v>
      </c>
      <c r="C909" s="35">
        <f t="shared" ref="C909:C972" si="33">E909</f>
        <v>42539</v>
      </c>
      <c r="D909" s="212" t="s">
        <v>1031</v>
      </c>
      <c r="E909" s="35">
        <v>42539</v>
      </c>
      <c r="F909" s="144" t="s">
        <v>177</v>
      </c>
      <c r="G909" s="191" t="s">
        <v>104</v>
      </c>
      <c r="H909" s="198"/>
      <c r="I909" s="186"/>
      <c r="J909" s="186"/>
      <c r="K909" s="185"/>
      <c r="L909" s="186"/>
      <c r="M909" s="36">
        <v>160000000</v>
      </c>
      <c r="N909" s="37" t="s">
        <v>34</v>
      </c>
      <c r="O909" s="37"/>
      <c r="P909" s="47" t="str">
        <f>IF(AND('331-CT'!$F$5=TH!H909,OR(N909="331",O909="331")),"x","")</f>
        <v/>
      </c>
      <c r="Q909" s="47" t="str">
        <f>IF(AND(B909='111'!$L$11,OR($N909=$Q$7,$O909=$Q$7)),"x","")</f>
        <v/>
      </c>
      <c r="R909" s="47" t="str">
        <f>IF(AND($N909=$Q$7,$B909&lt;'111'!$L$11),"x","")</f>
        <v>x</v>
      </c>
      <c r="S909" s="47" t="str">
        <f>IF(AND($O909=$Q$7,$B909&lt;'111'!$L$11),"x","")</f>
        <v/>
      </c>
    </row>
    <row r="910" spans="1:19" ht="15.75" customHeight="1">
      <c r="A910" s="152" t="str">
        <f>IF(B910&lt;&gt;"",IF(AND(B910='IN-TC'!$S$4,OR(TH!N910="1111",TH!O910="1111")),TH!D910,""),"")</f>
        <v/>
      </c>
      <c r="B910" s="34">
        <f t="shared" si="32"/>
        <v>6</v>
      </c>
      <c r="C910" s="35">
        <f t="shared" si="33"/>
        <v>42539</v>
      </c>
      <c r="D910" s="212" t="s">
        <v>944</v>
      </c>
      <c r="E910" s="35">
        <v>42539</v>
      </c>
      <c r="F910" s="144" t="s">
        <v>729</v>
      </c>
      <c r="G910" s="191" t="s">
        <v>204</v>
      </c>
      <c r="H910" s="198"/>
      <c r="I910" s="186"/>
      <c r="J910" s="186"/>
      <c r="K910" s="185"/>
      <c r="L910" s="186"/>
      <c r="M910" s="36">
        <v>20000000</v>
      </c>
      <c r="N910" s="37"/>
      <c r="O910" s="37" t="s">
        <v>34</v>
      </c>
      <c r="P910" s="47" t="str">
        <f>IF(AND('331-CT'!$F$5=TH!H910,OR(N910="331",O910="331")),"x","")</f>
        <v/>
      </c>
      <c r="Q910" s="47" t="str">
        <f>IF(AND(B910='111'!$L$11,OR($N910=$Q$7,$O910=$Q$7)),"x","")</f>
        <v/>
      </c>
      <c r="R910" s="47" t="str">
        <f>IF(AND($N910=$Q$7,$B910&lt;'111'!$L$11),"x","")</f>
        <v/>
      </c>
      <c r="S910" s="47" t="str">
        <f>IF(AND($O910=$Q$7,$B910&lt;'111'!$L$11),"x","")</f>
        <v>x</v>
      </c>
    </row>
    <row r="911" spans="1:19" ht="15.75" customHeight="1">
      <c r="A911" s="152" t="str">
        <f>IF(B911&lt;&gt;"",IF(AND(B911='IN-TC'!$S$4,OR(TH!N911="1111",TH!O911="1111")),TH!D911,""),"")</f>
        <v/>
      </c>
      <c r="B911" s="34">
        <f t="shared" si="32"/>
        <v>6</v>
      </c>
      <c r="C911" s="35">
        <f t="shared" si="33"/>
        <v>42539</v>
      </c>
      <c r="D911" s="212" t="s">
        <v>945</v>
      </c>
      <c r="E911" s="35">
        <v>42539</v>
      </c>
      <c r="F911" s="144" t="s">
        <v>730</v>
      </c>
      <c r="G911" s="191" t="s">
        <v>206</v>
      </c>
      <c r="H911" s="198" t="s">
        <v>833</v>
      </c>
      <c r="I911" s="186"/>
      <c r="J911" s="186"/>
      <c r="K911" s="185"/>
      <c r="L911" s="186"/>
      <c r="M911" s="36">
        <v>54142000</v>
      </c>
      <c r="N911" s="37" t="s">
        <v>8</v>
      </c>
      <c r="O911" s="37" t="s">
        <v>34</v>
      </c>
      <c r="P911" s="47" t="str">
        <f>IF(AND('331-CT'!$F$5=TH!H911,OR(N911="331",O911="331")),"x","")</f>
        <v/>
      </c>
      <c r="Q911" s="47" t="str">
        <f>IF(AND(B911='111'!$L$11,OR($N911=$Q$7,$O911=$Q$7)),"x","")</f>
        <v/>
      </c>
      <c r="R911" s="47" t="str">
        <f>IF(AND($N911=$Q$7,$B911&lt;'111'!$L$11),"x","")</f>
        <v/>
      </c>
      <c r="S911" s="47" t="str">
        <f>IF(AND($O911=$Q$7,$B911&lt;'111'!$L$11),"x","")</f>
        <v>x</v>
      </c>
    </row>
    <row r="912" spans="1:19" ht="15.75" customHeight="1">
      <c r="A912" s="152" t="str">
        <f>IF(B912&lt;&gt;"",IF(AND(B912='IN-TC'!$S$4,OR(TH!N912="1111",TH!O912="1111")),TH!D912,""),"")</f>
        <v/>
      </c>
      <c r="B912" s="34">
        <f t="shared" si="32"/>
        <v>6</v>
      </c>
      <c r="C912" s="35">
        <f t="shared" si="33"/>
        <v>42539</v>
      </c>
      <c r="D912" s="212" t="s">
        <v>946</v>
      </c>
      <c r="E912" s="35">
        <v>42539</v>
      </c>
      <c r="F912" s="144" t="s">
        <v>1308</v>
      </c>
      <c r="G912" s="191" t="s">
        <v>203</v>
      </c>
      <c r="H912" s="198" t="s">
        <v>1413</v>
      </c>
      <c r="I912" s="186"/>
      <c r="J912" s="186"/>
      <c r="K912" s="185"/>
      <c r="L912" s="186"/>
      <c r="M912" s="36">
        <v>18000000</v>
      </c>
      <c r="N912" s="37" t="s">
        <v>814</v>
      </c>
      <c r="O912" s="37" t="s">
        <v>34</v>
      </c>
      <c r="P912" s="47" t="str">
        <f>IF(AND('331-CT'!$F$5=TH!H912,OR(N912="331",O912="331")),"x","")</f>
        <v/>
      </c>
      <c r="Q912" s="47" t="str">
        <f>IF(AND(B912='111'!$L$11,OR($N912=$Q$7,$O912=$Q$7)),"x","")</f>
        <v/>
      </c>
      <c r="R912" s="47" t="str">
        <f>IF(AND($N912=$Q$7,$B912&lt;'111'!$L$11),"x","")</f>
        <v/>
      </c>
      <c r="S912" s="47" t="str">
        <f>IF(AND($O912=$Q$7,$B912&lt;'111'!$L$11),"x","")</f>
        <v>x</v>
      </c>
    </row>
    <row r="913" spans="1:19" ht="15.75" customHeight="1">
      <c r="A913" s="152" t="str">
        <f>IF(B913&lt;&gt;"",IF(AND(B913='IN-TC'!$S$4,OR(TH!N913="1111",TH!O913="1111")),TH!D913,""),"")</f>
        <v/>
      </c>
      <c r="B913" s="34">
        <f t="shared" si="32"/>
        <v>6</v>
      </c>
      <c r="C913" s="35">
        <f t="shared" si="33"/>
        <v>42539</v>
      </c>
      <c r="D913" s="212" t="s">
        <v>947</v>
      </c>
      <c r="E913" s="35">
        <v>42539</v>
      </c>
      <c r="F913" s="144" t="s">
        <v>731</v>
      </c>
      <c r="G913" s="191" t="s">
        <v>205</v>
      </c>
      <c r="H913" s="198"/>
      <c r="I913" s="186"/>
      <c r="J913" s="186"/>
      <c r="K913" s="185"/>
      <c r="L913" s="186"/>
      <c r="M913" s="36">
        <v>20000000</v>
      </c>
      <c r="N913" s="37"/>
      <c r="O913" s="37" t="s">
        <v>34</v>
      </c>
      <c r="P913" s="47" t="str">
        <f>IF(AND('331-CT'!$F$5=TH!H913,OR(N913="331",O913="331")),"x","")</f>
        <v/>
      </c>
      <c r="Q913" s="47" t="str">
        <f>IF(AND(B913='111'!$L$11,OR($N913=$Q$7,$O913=$Q$7)),"x","")</f>
        <v/>
      </c>
      <c r="R913" s="47" t="str">
        <f>IF(AND($N913=$Q$7,$B913&lt;'111'!$L$11),"x","")</f>
        <v/>
      </c>
      <c r="S913" s="47" t="str">
        <f>IF(AND($O913=$Q$7,$B913&lt;'111'!$L$11),"x","")</f>
        <v>x</v>
      </c>
    </row>
    <row r="914" spans="1:19" ht="15.75" customHeight="1">
      <c r="A914" s="152" t="str">
        <f>IF(B914&lt;&gt;"",IF(AND(B914='IN-TC'!$S$4,OR(TH!N914="1111",TH!O914="1111")),TH!D914,""),"")</f>
        <v/>
      </c>
      <c r="B914" s="34">
        <f t="shared" si="32"/>
        <v>6</v>
      </c>
      <c r="C914" s="35">
        <f t="shared" si="33"/>
        <v>42539</v>
      </c>
      <c r="D914" s="212"/>
      <c r="E914" s="35">
        <v>42539</v>
      </c>
      <c r="F914" s="144" t="s">
        <v>1466</v>
      </c>
      <c r="G914" s="191" t="s">
        <v>204</v>
      </c>
      <c r="H914" s="198" t="s">
        <v>832</v>
      </c>
      <c r="I914" s="186">
        <v>544</v>
      </c>
      <c r="J914" s="186">
        <v>15000</v>
      </c>
      <c r="K914" s="185"/>
      <c r="L914" s="186"/>
      <c r="M914" s="36">
        <f>ROUND(I914*J914,0)</f>
        <v>8160000</v>
      </c>
      <c r="N914" s="37" t="s">
        <v>1443</v>
      </c>
      <c r="O914" s="37" t="s">
        <v>8</v>
      </c>
      <c r="P914" s="47" t="str">
        <f>IF(AND('331-CT'!$F$5=TH!H914,OR(N914="331",O914="331")),"x","")</f>
        <v/>
      </c>
      <c r="Q914" s="47" t="str">
        <f>IF(AND(B914='111'!$L$11,OR($N914=$Q$7,$O914=$Q$7)),"x","")</f>
        <v/>
      </c>
      <c r="R914" s="47" t="str">
        <f>IF(AND($N914=$Q$7,$B914&lt;'111'!$L$11),"x","")</f>
        <v/>
      </c>
      <c r="S914" s="47" t="str">
        <f>IF(AND($O914=$Q$7,$B914&lt;'111'!$L$11),"x","")</f>
        <v/>
      </c>
    </row>
    <row r="915" spans="1:19" ht="15.75" customHeight="1">
      <c r="A915" s="152" t="str">
        <f>IF(B915&lt;&gt;"",IF(AND(B915='IN-TC'!$S$4,OR(TH!N915="1111",TH!O915="1111")),TH!D915,""),"")</f>
        <v/>
      </c>
      <c r="B915" s="34">
        <f t="shared" si="32"/>
        <v>6</v>
      </c>
      <c r="C915" s="35">
        <f t="shared" si="33"/>
        <v>42539</v>
      </c>
      <c r="D915" s="212"/>
      <c r="E915" s="35">
        <v>42539</v>
      </c>
      <c r="F915" s="144" t="s">
        <v>1483</v>
      </c>
      <c r="G915" s="191" t="s">
        <v>204</v>
      </c>
      <c r="H915" s="198" t="s">
        <v>832</v>
      </c>
      <c r="I915" s="186">
        <v>456</v>
      </c>
      <c r="J915" s="186">
        <v>12000</v>
      </c>
      <c r="K915" s="185"/>
      <c r="L915" s="186"/>
      <c r="M915" s="36">
        <f>ROUND(I915*J915,0)</f>
        <v>5472000</v>
      </c>
      <c r="N915" s="37" t="s">
        <v>1443</v>
      </c>
      <c r="O915" s="37" t="s">
        <v>8</v>
      </c>
      <c r="P915" s="47" t="str">
        <f>IF(AND('331-CT'!$F$5=TH!H915,OR(N915="331",O915="331")),"x","")</f>
        <v/>
      </c>
      <c r="Q915" s="47" t="str">
        <f>IF(AND(B915='111'!$L$11,OR($N915=$Q$7,$O915=$Q$7)),"x","")</f>
        <v/>
      </c>
      <c r="R915" s="47" t="str">
        <f>IF(AND($N915=$Q$7,$B915&lt;'111'!$L$11),"x","")</f>
        <v/>
      </c>
      <c r="S915" s="47" t="str">
        <f>IF(AND($O915=$Q$7,$B915&lt;'111'!$L$11),"x","")</f>
        <v/>
      </c>
    </row>
    <row r="916" spans="1:19" ht="15.75" customHeight="1">
      <c r="A916" s="152" t="str">
        <f>IF(B916&lt;&gt;"",IF(AND(B916='IN-TC'!$S$4,OR(TH!N916="1111",TH!O916="1111")),TH!D916,""),"")</f>
        <v/>
      </c>
      <c r="B916" s="34">
        <f t="shared" si="32"/>
        <v>6</v>
      </c>
      <c r="C916" s="35">
        <f t="shared" si="33"/>
        <v>42541</v>
      </c>
      <c r="D916" s="212" t="s">
        <v>948</v>
      </c>
      <c r="E916" s="35">
        <v>42541</v>
      </c>
      <c r="F916" s="144" t="s">
        <v>732</v>
      </c>
      <c r="G916" s="191" t="s">
        <v>110</v>
      </c>
      <c r="H916" s="198"/>
      <c r="I916" s="186"/>
      <c r="J916" s="186"/>
      <c r="K916" s="185"/>
      <c r="L916" s="186"/>
      <c r="M916" s="36">
        <v>1500000</v>
      </c>
      <c r="N916" s="37"/>
      <c r="O916" s="37" t="s">
        <v>34</v>
      </c>
      <c r="P916" s="47" t="str">
        <f>IF(AND('331-CT'!$F$5=TH!H916,OR(N916="331",O916="331")),"x","")</f>
        <v/>
      </c>
      <c r="Q916" s="47" t="str">
        <f>IF(AND(B916='111'!$L$11,OR($N916=$Q$7,$O916=$Q$7)),"x","")</f>
        <v/>
      </c>
      <c r="R916" s="47" t="str">
        <f>IF(AND($N916=$Q$7,$B916&lt;'111'!$L$11),"x","")</f>
        <v/>
      </c>
      <c r="S916" s="47" t="str">
        <f>IF(AND($O916=$Q$7,$B916&lt;'111'!$L$11),"x","")</f>
        <v>x</v>
      </c>
    </row>
    <row r="917" spans="1:19" ht="15.75" customHeight="1">
      <c r="A917" s="152" t="str">
        <f>IF(B917&lt;&gt;"",IF(AND(B917='IN-TC'!$S$4,OR(TH!N917="1111",TH!O917="1111")),TH!D917,""),"")</f>
        <v/>
      </c>
      <c r="B917" s="34">
        <f t="shared" si="32"/>
        <v>6</v>
      </c>
      <c r="C917" s="35">
        <f t="shared" si="33"/>
        <v>42541</v>
      </c>
      <c r="D917" s="212" t="s">
        <v>949</v>
      </c>
      <c r="E917" s="35">
        <v>42541</v>
      </c>
      <c r="F917" s="144" t="s">
        <v>339</v>
      </c>
      <c r="G917" s="191" t="s">
        <v>205</v>
      </c>
      <c r="H917" s="198"/>
      <c r="I917" s="186"/>
      <c r="J917" s="186"/>
      <c r="K917" s="185"/>
      <c r="L917" s="186"/>
      <c r="M917" s="36">
        <v>4000000</v>
      </c>
      <c r="N917" s="37"/>
      <c r="O917" s="37" t="s">
        <v>34</v>
      </c>
      <c r="P917" s="47" t="str">
        <f>IF(AND('331-CT'!$F$5=TH!H917,OR(N917="331",O917="331")),"x","")</f>
        <v/>
      </c>
      <c r="Q917" s="47" t="str">
        <f>IF(AND(B917='111'!$L$11,OR($N917=$Q$7,$O917=$Q$7)),"x","")</f>
        <v/>
      </c>
      <c r="R917" s="47" t="str">
        <f>IF(AND($N917=$Q$7,$B917&lt;'111'!$L$11),"x","")</f>
        <v/>
      </c>
      <c r="S917" s="47" t="str">
        <f>IF(AND($O917=$Q$7,$B917&lt;'111'!$L$11),"x","")</f>
        <v>x</v>
      </c>
    </row>
    <row r="918" spans="1:19" ht="15.75" customHeight="1">
      <c r="A918" s="152" t="str">
        <f>IF(B918&lt;&gt;"",IF(AND(B918='IN-TC'!$S$4,OR(TH!N918="1111",TH!O918="1111")),TH!D918,""),"")</f>
        <v/>
      </c>
      <c r="B918" s="34">
        <f t="shared" si="32"/>
        <v>6</v>
      </c>
      <c r="C918" s="35">
        <f t="shared" si="33"/>
        <v>42541</v>
      </c>
      <c r="D918" s="212" t="s">
        <v>950</v>
      </c>
      <c r="E918" s="35">
        <v>42541</v>
      </c>
      <c r="F918" s="144" t="s">
        <v>279</v>
      </c>
      <c r="G918" s="191" t="s">
        <v>205</v>
      </c>
      <c r="H918" s="198"/>
      <c r="I918" s="186"/>
      <c r="J918" s="186"/>
      <c r="K918" s="185"/>
      <c r="L918" s="186"/>
      <c r="M918" s="36">
        <v>570000</v>
      </c>
      <c r="N918" s="37"/>
      <c r="O918" s="37" t="s">
        <v>34</v>
      </c>
      <c r="P918" s="47" t="str">
        <f>IF(AND('331-CT'!$F$5=TH!H918,OR(N918="331",O918="331")),"x","")</f>
        <v/>
      </c>
      <c r="Q918" s="47" t="str">
        <f>IF(AND(B918='111'!$L$11,OR($N918=$Q$7,$O918=$Q$7)),"x","")</f>
        <v/>
      </c>
      <c r="R918" s="47" t="str">
        <f>IF(AND($N918=$Q$7,$B918&lt;'111'!$L$11),"x","")</f>
        <v/>
      </c>
      <c r="S918" s="47" t="str">
        <f>IF(AND($O918=$Q$7,$B918&lt;'111'!$L$11),"x","")</f>
        <v>x</v>
      </c>
    </row>
    <row r="919" spans="1:19" ht="15.75" customHeight="1">
      <c r="A919" s="152" t="str">
        <f>IF(B919&lt;&gt;"",IF(AND(B919='IN-TC'!$S$4,OR(TH!N919="1111",TH!O919="1111")),TH!D919,""),"")</f>
        <v/>
      </c>
      <c r="B919" s="34">
        <f t="shared" si="32"/>
        <v>6</v>
      </c>
      <c r="C919" s="35">
        <f t="shared" si="33"/>
        <v>42541</v>
      </c>
      <c r="D919" s="212" t="s">
        <v>951</v>
      </c>
      <c r="E919" s="35">
        <v>42541</v>
      </c>
      <c r="F919" s="144" t="s">
        <v>733</v>
      </c>
      <c r="G919" s="191" t="s">
        <v>205</v>
      </c>
      <c r="H919" s="198"/>
      <c r="I919" s="186"/>
      <c r="J919" s="186"/>
      <c r="K919" s="185"/>
      <c r="L919" s="186"/>
      <c r="M919" s="36">
        <v>400000</v>
      </c>
      <c r="N919" s="37"/>
      <c r="O919" s="37" t="s">
        <v>34</v>
      </c>
      <c r="P919" s="47" t="str">
        <f>IF(AND('331-CT'!$F$5=TH!H919,OR(N919="331",O919="331")),"x","")</f>
        <v/>
      </c>
      <c r="Q919" s="47" t="str">
        <f>IF(AND(B919='111'!$L$11,OR($N919=$Q$7,$O919=$Q$7)),"x","")</f>
        <v/>
      </c>
      <c r="R919" s="47" t="str">
        <f>IF(AND($N919=$Q$7,$B919&lt;'111'!$L$11),"x","")</f>
        <v/>
      </c>
      <c r="S919" s="47" t="str">
        <f>IF(AND($O919=$Q$7,$B919&lt;'111'!$L$11),"x","")</f>
        <v>x</v>
      </c>
    </row>
    <row r="920" spans="1:19" ht="15.75" customHeight="1">
      <c r="A920" s="152" t="str">
        <f>IF(B920&lt;&gt;"",IF(AND(B920='IN-TC'!$S$4,OR(TH!N920="1111",TH!O920="1111")),TH!D920,""),"")</f>
        <v/>
      </c>
      <c r="B920" s="34">
        <f t="shared" si="32"/>
        <v>6</v>
      </c>
      <c r="C920" s="35">
        <f t="shared" si="33"/>
        <v>42541</v>
      </c>
      <c r="D920" s="212" t="s">
        <v>952</v>
      </c>
      <c r="E920" s="35">
        <v>42541</v>
      </c>
      <c r="F920" s="144" t="s">
        <v>734</v>
      </c>
      <c r="G920" s="191" t="s">
        <v>205</v>
      </c>
      <c r="H920" s="198"/>
      <c r="I920" s="186"/>
      <c r="J920" s="186"/>
      <c r="K920" s="185"/>
      <c r="L920" s="186"/>
      <c r="M920" s="36">
        <v>19958000</v>
      </c>
      <c r="N920" s="37"/>
      <c r="O920" s="37" t="s">
        <v>34</v>
      </c>
      <c r="P920" s="47" t="str">
        <f>IF(AND('331-CT'!$F$5=TH!H920,OR(N920="331",O920="331")),"x","")</f>
        <v/>
      </c>
      <c r="Q920" s="47" t="str">
        <f>IF(AND(B920='111'!$L$11,OR($N920=$Q$7,$O920=$Q$7)),"x","")</f>
        <v/>
      </c>
      <c r="R920" s="47" t="str">
        <f>IF(AND($N920=$Q$7,$B920&lt;'111'!$L$11),"x","")</f>
        <v/>
      </c>
      <c r="S920" s="47" t="str">
        <f>IF(AND($O920=$Q$7,$B920&lt;'111'!$L$11),"x","")</f>
        <v>x</v>
      </c>
    </row>
    <row r="921" spans="1:19" ht="15.75" customHeight="1">
      <c r="A921" s="152" t="str">
        <f>IF(B921&lt;&gt;"",IF(AND(B921='IN-TC'!$S$4,OR(TH!N921="1111",TH!O921="1111")),TH!D921,""),"")</f>
        <v/>
      </c>
      <c r="B921" s="34">
        <f t="shared" si="32"/>
        <v>6</v>
      </c>
      <c r="C921" s="35">
        <f t="shared" si="33"/>
        <v>42541</v>
      </c>
      <c r="D921" s="212"/>
      <c r="E921" s="35">
        <v>42541</v>
      </c>
      <c r="F921" s="144" t="s">
        <v>1467</v>
      </c>
      <c r="G921" s="191"/>
      <c r="H921" s="198" t="s">
        <v>831</v>
      </c>
      <c r="I921" s="186">
        <v>1410</v>
      </c>
      <c r="J921" s="186">
        <v>12000</v>
      </c>
      <c r="K921" s="185"/>
      <c r="L921" s="186"/>
      <c r="M921" s="36">
        <f>ROUND(I921*J921,0)</f>
        <v>16920000</v>
      </c>
      <c r="N921" s="37" t="s">
        <v>1443</v>
      </c>
      <c r="O921" s="37" t="s">
        <v>8</v>
      </c>
      <c r="P921" s="47" t="str">
        <f>IF(AND('331-CT'!$F$5=TH!H921,OR(N921="331",O921="331")),"x","")</f>
        <v/>
      </c>
      <c r="Q921" s="47" t="str">
        <f>IF(AND(B921='111'!$L$11,OR($N921=$Q$7,$O921=$Q$7)),"x","")</f>
        <v/>
      </c>
      <c r="R921" s="47" t="str">
        <f>IF(AND($N921=$Q$7,$B921&lt;'111'!$L$11),"x","")</f>
        <v/>
      </c>
      <c r="S921" s="47" t="str">
        <f>IF(AND($O921=$Q$7,$B921&lt;'111'!$L$11),"x","")</f>
        <v/>
      </c>
    </row>
    <row r="922" spans="1:19" ht="15.75" customHeight="1">
      <c r="A922" s="152" t="str">
        <f>IF(B922&lt;&gt;"",IF(AND(B922='IN-TC'!$S$4,OR(TH!N922="1111",TH!O922="1111")),TH!D922,""),"")</f>
        <v/>
      </c>
      <c r="B922" s="34">
        <f t="shared" si="32"/>
        <v>6</v>
      </c>
      <c r="C922" s="35">
        <f t="shared" si="33"/>
        <v>42542</v>
      </c>
      <c r="D922" s="212"/>
      <c r="E922" s="35">
        <v>42542</v>
      </c>
      <c r="F922" s="144" t="s">
        <v>1493</v>
      </c>
      <c r="G922" s="191" t="s">
        <v>204</v>
      </c>
      <c r="H922" s="198" t="s">
        <v>828</v>
      </c>
      <c r="I922" s="186">
        <v>30</v>
      </c>
      <c r="J922" s="186">
        <v>25000</v>
      </c>
      <c r="K922" s="185"/>
      <c r="L922" s="186"/>
      <c r="M922" s="36">
        <f>ROUND(I922*J922,-3)</f>
        <v>750000</v>
      </c>
      <c r="N922" s="37" t="s">
        <v>1443</v>
      </c>
      <c r="O922" s="37" t="s">
        <v>8</v>
      </c>
      <c r="P922" s="47" t="str">
        <f>IF(AND('331-CT'!$F$5=TH!H922,OR(N922="331",O922="331")),"x","")</f>
        <v/>
      </c>
      <c r="Q922" s="47" t="str">
        <f>IF(AND(B922='111'!$L$11,OR($N922=$Q$7,$O922=$Q$7)),"x","")</f>
        <v/>
      </c>
      <c r="R922" s="47" t="str">
        <f>IF(AND($N922=$Q$7,$B922&lt;'111'!$L$11),"x","")</f>
        <v/>
      </c>
      <c r="S922" s="47" t="str">
        <f>IF(AND($O922=$Q$7,$B922&lt;'111'!$L$11),"x","")</f>
        <v/>
      </c>
    </row>
    <row r="923" spans="1:19" ht="15.75" customHeight="1">
      <c r="A923" s="152" t="str">
        <f>IF(B923&lt;&gt;"",IF(AND(B923='IN-TC'!$S$4,OR(TH!N923="1111",TH!O923="1111")),TH!D923,""),"")</f>
        <v/>
      </c>
      <c r="B923" s="34">
        <f t="shared" si="32"/>
        <v>6</v>
      </c>
      <c r="C923" s="35">
        <f t="shared" si="33"/>
        <v>42542</v>
      </c>
      <c r="D923" s="212"/>
      <c r="E923" s="35">
        <v>42542</v>
      </c>
      <c r="F923" s="144" t="s">
        <v>1494</v>
      </c>
      <c r="G923" s="191" t="s">
        <v>204</v>
      </c>
      <c r="H923" s="198" t="s">
        <v>828</v>
      </c>
      <c r="I923" s="186">
        <v>1160</v>
      </c>
      <c r="J923" s="186">
        <v>19000</v>
      </c>
      <c r="K923" s="185"/>
      <c r="L923" s="186"/>
      <c r="M923" s="36">
        <f>ROUND(I923*J923,-3)</f>
        <v>22040000</v>
      </c>
      <c r="N923" s="37" t="s">
        <v>1443</v>
      </c>
      <c r="O923" s="37" t="s">
        <v>8</v>
      </c>
      <c r="P923" s="47" t="str">
        <f>IF(AND('331-CT'!$F$5=TH!H923,OR(N923="331",O923="331")),"x","")</f>
        <v/>
      </c>
      <c r="Q923" s="47" t="str">
        <f>IF(AND(B923='111'!$L$11,OR($N923=$Q$7,$O923=$Q$7)),"x","")</f>
        <v/>
      </c>
      <c r="R923" s="47" t="str">
        <f>IF(AND($N923=$Q$7,$B923&lt;'111'!$L$11),"x","")</f>
        <v/>
      </c>
      <c r="S923" s="47" t="str">
        <f>IF(AND($O923=$Q$7,$B923&lt;'111'!$L$11),"x","")</f>
        <v/>
      </c>
    </row>
    <row r="924" spans="1:19" ht="15.75" customHeight="1">
      <c r="A924" s="152" t="str">
        <f>IF(B924&lt;&gt;"",IF(AND(B924='IN-TC'!$S$4,OR(TH!N924="1111",TH!O924="1111")),TH!D924,""),"")</f>
        <v/>
      </c>
      <c r="B924" s="34">
        <f t="shared" si="32"/>
        <v>6</v>
      </c>
      <c r="C924" s="35">
        <f t="shared" si="33"/>
        <v>42542</v>
      </c>
      <c r="D924" s="212"/>
      <c r="E924" s="35">
        <v>42542</v>
      </c>
      <c r="F924" s="144" t="s">
        <v>1495</v>
      </c>
      <c r="G924" s="191" t="s">
        <v>204</v>
      </c>
      <c r="H924" s="198" t="s">
        <v>828</v>
      </c>
      <c r="I924" s="186">
        <v>29</v>
      </c>
      <c r="J924" s="186">
        <v>15000</v>
      </c>
      <c r="K924" s="185"/>
      <c r="L924" s="186"/>
      <c r="M924" s="36">
        <f>ROUND(I924*J924,-3)</f>
        <v>435000</v>
      </c>
      <c r="N924" s="37" t="s">
        <v>1443</v>
      </c>
      <c r="O924" s="37" t="s">
        <v>8</v>
      </c>
      <c r="P924" s="47" t="str">
        <f>IF(AND('331-CT'!$F$5=TH!H924,OR(N924="331",O924="331")),"x","")</f>
        <v/>
      </c>
      <c r="Q924" s="47" t="str">
        <f>IF(AND(B924='111'!$L$11,OR($N924=$Q$7,$O924=$Q$7)),"x","")</f>
        <v/>
      </c>
      <c r="R924" s="47" t="str">
        <f>IF(AND($N924=$Q$7,$B924&lt;'111'!$L$11),"x","")</f>
        <v/>
      </c>
      <c r="S924" s="47" t="str">
        <f>IF(AND($O924=$Q$7,$B924&lt;'111'!$L$11),"x","")</f>
        <v/>
      </c>
    </row>
    <row r="925" spans="1:19" ht="15.75" customHeight="1">
      <c r="A925" s="152" t="str">
        <f>IF(B925&lt;&gt;"",IF(AND(B925='IN-TC'!$S$4,OR(TH!N925="1111",TH!O925="1111")),TH!D925,""),"")</f>
        <v/>
      </c>
      <c r="B925" s="34">
        <f t="shared" si="32"/>
        <v>6</v>
      </c>
      <c r="C925" s="35">
        <f t="shared" si="33"/>
        <v>42543</v>
      </c>
      <c r="D925" s="212" t="s">
        <v>1032</v>
      </c>
      <c r="E925" s="35">
        <v>42543</v>
      </c>
      <c r="F925" s="144" t="s">
        <v>191</v>
      </c>
      <c r="G925" s="191" t="s">
        <v>110</v>
      </c>
      <c r="H925" s="198"/>
      <c r="I925" s="186"/>
      <c r="J925" s="186"/>
      <c r="K925" s="185"/>
      <c r="L925" s="186"/>
      <c r="M925" s="36">
        <v>5000000</v>
      </c>
      <c r="N925" s="37" t="s">
        <v>34</v>
      </c>
      <c r="O925" s="37"/>
      <c r="P925" s="47" t="str">
        <f>IF(AND('331-CT'!$F$5=TH!H925,OR(N925="331",O925="331")),"x","")</f>
        <v/>
      </c>
      <c r="Q925" s="47" t="str">
        <f>IF(AND(B925='111'!$L$11,OR($N925=$Q$7,$O925=$Q$7)),"x","")</f>
        <v/>
      </c>
      <c r="R925" s="47" t="str">
        <f>IF(AND($N925=$Q$7,$B925&lt;'111'!$L$11),"x","")</f>
        <v>x</v>
      </c>
      <c r="S925" s="47" t="str">
        <f>IF(AND($O925=$Q$7,$B925&lt;'111'!$L$11),"x","")</f>
        <v/>
      </c>
    </row>
    <row r="926" spans="1:19" ht="15.75" customHeight="1">
      <c r="A926" s="152" t="str">
        <f>IF(B926&lt;&gt;"",IF(AND(B926='IN-TC'!$S$4,OR(TH!N926="1111",TH!O926="1111")),TH!D926,""),"")</f>
        <v/>
      </c>
      <c r="B926" s="34">
        <f t="shared" si="32"/>
        <v>6</v>
      </c>
      <c r="C926" s="35">
        <f t="shared" si="33"/>
        <v>42543</v>
      </c>
      <c r="D926" s="212" t="s">
        <v>1064</v>
      </c>
      <c r="E926" s="35">
        <v>42543</v>
      </c>
      <c r="F926" s="144" t="s">
        <v>192</v>
      </c>
      <c r="G926" s="191" t="s">
        <v>110</v>
      </c>
      <c r="H926" s="198"/>
      <c r="I926" s="186"/>
      <c r="J926" s="186"/>
      <c r="K926" s="185"/>
      <c r="L926" s="186"/>
      <c r="M926" s="36">
        <v>1500000</v>
      </c>
      <c r="N926" s="37" t="s">
        <v>34</v>
      </c>
      <c r="O926" s="37"/>
      <c r="P926" s="47" t="str">
        <f>IF(AND('331-CT'!$F$5=TH!H926,OR(N926="331",O926="331")),"x","")</f>
        <v/>
      </c>
      <c r="Q926" s="47" t="str">
        <f>IF(AND(B926='111'!$L$11,OR($N926=$Q$7,$O926=$Q$7)),"x","")</f>
        <v/>
      </c>
      <c r="R926" s="47" t="str">
        <f>IF(AND($N926=$Q$7,$B926&lt;'111'!$L$11),"x","")</f>
        <v>x</v>
      </c>
      <c r="S926" s="47" t="str">
        <f>IF(AND($O926=$Q$7,$B926&lt;'111'!$L$11),"x","")</f>
        <v/>
      </c>
    </row>
    <row r="927" spans="1:19" ht="15.75" customHeight="1">
      <c r="A927" s="152" t="str">
        <f>IF(B927&lt;&gt;"",IF(AND(B927='IN-TC'!$S$4,OR(TH!N927="1111",TH!O927="1111")),TH!D927,""),"")</f>
        <v/>
      </c>
      <c r="B927" s="34">
        <f t="shared" si="32"/>
        <v>6</v>
      </c>
      <c r="C927" s="35">
        <f t="shared" si="33"/>
        <v>42543</v>
      </c>
      <c r="D927" s="212" t="s">
        <v>1135</v>
      </c>
      <c r="E927" s="35">
        <v>42543</v>
      </c>
      <c r="F927" s="144" t="s">
        <v>155</v>
      </c>
      <c r="G927" s="191" t="s">
        <v>104</v>
      </c>
      <c r="H927" s="198"/>
      <c r="I927" s="186"/>
      <c r="J927" s="186"/>
      <c r="K927" s="185"/>
      <c r="L927" s="186"/>
      <c r="M927" s="36">
        <v>1700000000</v>
      </c>
      <c r="N927" s="37" t="s">
        <v>34</v>
      </c>
      <c r="O927" s="37"/>
      <c r="P927" s="47" t="str">
        <f>IF(AND('331-CT'!$F$5=TH!H927,OR(N927="331",O927="331")),"x","")</f>
        <v/>
      </c>
      <c r="Q927" s="47" t="str">
        <f>IF(AND(B927='111'!$L$11,OR($N927=$Q$7,$O927=$Q$7)),"x","")</f>
        <v/>
      </c>
      <c r="R927" s="47" t="str">
        <f>IF(AND($N927=$Q$7,$B927&lt;'111'!$L$11),"x","")</f>
        <v>x</v>
      </c>
      <c r="S927" s="47" t="str">
        <f>IF(AND($O927=$Q$7,$B927&lt;'111'!$L$11),"x","")</f>
        <v/>
      </c>
    </row>
    <row r="928" spans="1:19" ht="15.75" customHeight="1">
      <c r="A928" s="152" t="str">
        <f>IF(B928&lt;&gt;"",IF(AND(B928='IN-TC'!$S$4,OR(TH!N928="1111",TH!O928="1111")),TH!D928,""),"")</f>
        <v/>
      </c>
      <c r="B928" s="34">
        <f t="shared" si="32"/>
        <v>6</v>
      </c>
      <c r="C928" s="35">
        <f t="shared" si="33"/>
        <v>42543</v>
      </c>
      <c r="D928" s="212" t="s">
        <v>1172</v>
      </c>
      <c r="E928" s="35">
        <v>42543</v>
      </c>
      <c r="F928" s="144" t="s">
        <v>134</v>
      </c>
      <c r="G928" s="191" t="s">
        <v>105</v>
      </c>
      <c r="H928" s="198" t="s">
        <v>1413</v>
      </c>
      <c r="I928" s="186"/>
      <c r="J928" s="186"/>
      <c r="K928" s="185"/>
      <c r="L928" s="186"/>
      <c r="M928" s="36">
        <v>2000000000</v>
      </c>
      <c r="N928" s="37" t="s">
        <v>34</v>
      </c>
      <c r="O928" s="37" t="s">
        <v>812</v>
      </c>
      <c r="P928" s="47" t="str">
        <f>IF(AND('331-CT'!$F$5=TH!H928,OR(N928="331",O928="331")),"x","")</f>
        <v/>
      </c>
      <c r="Q928" s="47" t="str">
        <f>IF(AND(B928='111'!$L$11,OR($N928=$Q$7,$O928=$Q$7)),"x","")</f>
        <v/>
      </c>
      <c r="R928" s="47" t="str">
        <f>IF(AND($N928=$Q$7,$B928&lt;'111'!$L$11),"x","")</f>
        <v>x</v>
      </c>
      <c r="S928" s="47" t="str">
        <f>IF(AND($O928=$Q$7,$B928&lt;'111'!$L$11),"x","")</f>
        <v/>
      </c>
    </row>
    <row r="929" spans="1:19" ht="15.75" customHeight="1">
      <c r="A929" s="152" t="str">
        <f>IF(B929&lt;&gt;"",IF(AND(B929='IN-TC'!$S$4,OR(TH!N929="1111",TH!O929="1111")),TH!D929,""),"")</f>
        <v/>
      </c>
      <c r="B929" s="34">
        <f t="shared" si="32"/>
        <v>6</v>
      </c>
      <c r="C929" s="35">
        <f t="shared" si="33"/>
        <v>42543</v>
      </c>
      <c r="D929" s="212" t="s">
        <v>953</v>
      </c>
      <c r="E929" s="35">
        <v>42543</v>
      </c>
      <c r="F929" s="144" t="s">
        <v>268</v>
      </c>
      <c r="G929" s="191" t="s">
        <v>205</v>
      </c>
      <c r="H929" s="198"/>
      <c r="I929" s="186"/>
      <c r="J929" s="186"/>
      <c r="K929" s="185"/>
      <c r="L929" s="186"/>
      <c r="M929" s="36">
        <v>7822000</v>
      </c>
      <c r="N929" s="37"/>
      <c r="O929" s="37" t="s">
        <v>34</v>
      </c>
      <c r="P929" s="47" t="str">
        <f>IF(AND('331-CT'!$F$5=TH!H929,OR(N929="331",O929="331")),"x","")</f>
        <v/>
      </c>
      <c r="Q929" s="47" t="str">
        <f>IF(AND(B929='111'!$L$11,OR($N929=$Q$7,$O929=$Q$7)),"x","")</f>
        <v/>
      </c>
      <c r="R929" s="47" t="str">
        <f>IF(AND($N929=$Q$7,$B929&lt;'111'!$L$11),"x","")</f>
        <v/>
      </c>
      <c r="S929" s="47" t="str">
        <f>IF(AND($O929=$Q$7,$B929&lt;'111'!$L$11),"x","")</f>
        <v>x</v>
      </c>
    </row>
    <row r="930" spans="1:19" ht="15.75" customHeight="1">
      <c r="A930" s="152" t="str">
        <f>IF(B930&lt;&gt;"",IF(AND(B930='IN-TC'!$S$4,OR(TH!N930="1111",TH!O930="1111")),TH!D930,""),"")</f>
        <v/>
      </c>
      <c r="B930" s="34">
        <f t="shared" si="32"/>
        <v>6</v>
      </c>
      <c r="C930" s="35">
        <f t="shared" si="33"/>
        <v>42543</v>
      </c>
      <c r="D930" s="212" t="s">
        <v>954</v>
      </c>
      <c r="E930" s="35">
        <v>42543</v>
      </c>
      <c r="F930" s="144" t="s">
        <v>735</v>
      </c>
      <c r="G930" s="191" t="s">
        <v>205</v>
      </c>
      <c r="H930" s="198"/>
      <c r="I930" s="186"/>
      <c r="J930" s="186"/>
      <c r="K930" s="185"/>
      <c r="L930" s="186"/>
      <c r="M930" s="36">
        <v>5000000</v>
      </c>
      <c r="N930" s="37"/>
      <c r="O930" s="37" t="s">
        <v>34</v>
      </c>
      <c r="P930" s="47" t="str">
        <f>IF(AND('331-CT'!$F$5=TH!H930,OR(N930="331",O930="331")),"x","")</f>
        <v/>
      </c>
      <c r="Q930" s="47" t="str">
        <f>IF(AND(B930='111'!$L$11,OR($N930=$Q$7,$O930=$Q$7)),"x","")</f>
        <v/>
      </c>
      <c r="R930" s="47" t="str">
        <f>IF(AND($N930=$Q$7,$B930&lt;'111'!$L$11),"x","")</f>
        <v/>
      </c>
      <c r="S930" s="47" t="str">
        <f>IF(AND($O930=$Q$7,$B930&lt;'111'!$L$11),"x","")</f>
        <v>x</v>
      </c>
    </row>
    <row r="931" spans="1:19" ht="15.75" customHeight="1">
      <c r="A931" s="152" t="str">
        <f>IF(B931&lt;&gt;"",IF(AND(B931='IN-TC'!$S$4,OR(TH!N931="1111",TH!O931="1111")),TH!D931,""),"")</f>
        <v/>
      </c>
      <c r="B931" s="34">
        <f t="shared" si="32"/>
        <v>6</v>
      </c>
      <c r="C931" s="35">
        <f t="shared" si="33"/>
        <v>42543</v>
      </c>
      <c r="D931" s="212" t="s">
        <v>955</v>
      </c>
      <c r="E931" s="35">
        <v>42543</v>
      </c>
      <c r="F931" s="144" t="s">
        <v>736</v>
      </c>
      <c r="G931" s="191" t="s">
        <v>227</v>
      </c>
      <c r="H931" s="198"/>
      <c r="I931" s="186"/>
      <c r="J931" s="186"/>
      <c r="K931" s="185"/>
      <c r="L931" s="186"/>
      <c r="M931" s="36">
        <v>5698000</v>
      </c>
      <c r="N931" s="37"/>
      <c r="O931" s="37" t="s">
        <v>34</v>
      </c>
      <c r="P931" s="47" t="str">
        <f>IF(AND('331-CT'!$F$5=TH!H931,OR(N931="331",O931="331")),"x","")</f>
        <v/>
      </c>
      <c r="Q931" s="47" t="str">
        <f>IF(AND(B931='111'!$L$11,OR($N931=$Q$7,$O931=$Q$7)),"x","")</f>
        <v/>
      </c>
      <c r="R931" s="47" t="str">
        <f>IF(AND($N931=$Q$7,$B931&lt;'111'!$L$11),"x","")</f>
        <v/>
      </c>
      <c r="S931" s="47" t="str">
        <f>IF(AND($O931=$Q$7,$B931&lt;'111'!$L$11),"x","")</f>
        <v>x</v>
      </c>
    </row>
    <row r="932" spans="1:19" ht="15.75" customHeight="1">
      <c r="A932" s="152" t="str">
        <f>IF(B932&lt;&gt;"",IF(AND(B932='IN-TC'!$S$4,OR(TH!N932="1111",TH!O932="1111")),TH!D932,""),"")</f>
        <v/>
      </c>
      <c r="B932" s="34">
        <f t="shared" si="32"/>
        <v>6</v>
      </c>
      <c r="C932" s="35">
        <f t="shared" si="33"/>
        <v>42543</v>
      </c>
      <c r="D932" s="212" t="s">
        <v>956</v>
      </c>
      <c r="E932" s="35">
        <v>42543</v>
      </c>
      <c r="F932" s="144" t="s">
        <v>737</v>
      </c>
      <c r="G932" s="191" t="s">
        <v>207</v>
      </c>
      <c r="H932" s="198"/>
      <c r="I932" s="186"/>
      <c r="J932" s="186"/>
      <c r="K932" s="185"/>
      <c r="L932" s="186"/>
      <c r="M932" s="36">
        <v>320000</v>
      </c>
      <c r="N932" s="37"/>
      <c r="O932" s="37" t="s">
        <v>34</v>
      </c>
      <c r="P932" s="47" t="str">
        <f>IF(AND('331-CT'!$F$5=TH!H932,OR(N932="331",O932="331")),"x","")</f>
        <v/>
      </c>
      <c r="Q932" s="47" t="str">
        <f>IF(AND(B932='111'!$L$11,OR($N932=$Q$7,$O932=$Q$7)),"x","")</f>
        <v/>
      </c>
      <c r="R932" s="47" t="str">
        <f>IF(AND($N932=$Q$7,$B932&lt;'111'!$L$11),"x","")</f>
        <v/>
      </c>
      <c r="S932" s="47" t="str">
        <f>IF(AND($O932=$Q$7,$B932&lt;'111'!$L$11),"x","")</f>
        <v>x</v>
      </c>
    </row>
    <row r="933" spans="1:19" ht="15.75" customHeight="1">
      <c r="A933" s="152" t="str">
        <f>IF(B933&lt;&gt;"",IF(AND(B933='IN-TC'!$S$4,OR(TH!N933="1111",TH!O933="1111")),TH!D933,""),"")</f>
        <v/>
      </c>
      <c r="B933" s="34">
        <f t="shared" si="32"/>
        <v>6</v>
      </c>
      <c r="C933" s="35">
        <f t="shared" si="33"/>
        <v>42543</v>
      </c>
      <c r="D933" s="212" t="s">
        <v>957</v>
      </c>
      <c r="E933" s="35">
        <v>42543</v>
      </c>
      <c r="F933" s="144" t="s">
        <v>738</v>
      </c>
      <c r="G933" s="191" t="s">
        <v>205</v>
      </c>
      <c r="H933" s="198"/>
      <c r="I933" s="186"/>
      <c r="J933" s="186"/>
      <c r="K933" s="185"/>
      <c r="L933" s="186"/>
      <c r="M933" s="36">
        <v>1240000</v>
      </c>
      <c r="N933" s="37"/>
      <c r="O933" s="37" t="s">
        <v>34</v>
      </c>
      <c r="P933" s="47" t="str">
        <f>IF(AND('331-CT'!$F$5=TH!H933,OR(N933="331",O933="331")),"x","")</f>
        <v/>
      </c>
      <c r="Q933" s="47" t="str">
        <f>IF(AND(B933='111'!$L$11,OR($N933=$Q$7,$O933=$Q$7)),"x","")</f>
        <v/>
      </c>
      <c r="R933" s="47" t="str">
        <f>IF(AND($N933=$Q$7,$B933&lt;'111'!$L$11),"x","")</f>
        <v/>
      </c>
      <c r="S933" s="47" t="str">
        <f>IF(AND($O933=$Q$7,$B933&lt;'111'!$L$11),"x","")</f>
        <v>x</v>
      </c>
    </row>
    <row r="934" spans="1:19" ht="15.75" customHeight="1">
      <c r="A934" s="152" t="str">
        <f>IF(B934&lt;&gt;"",IF(AND(B934='IN-TC'!$S$4,OR(TH!N934="1111",TH!O934="1111")),TH!D934,""),"")</f>
        <v/>
      </c>
      <c r="B934" s="34">
        <f t="shared" si="32"/>
        <v>6</v>
      </c>
      <c r="C934" s="35">
        <f t="shared" si="33"/>
        <v>42543</v>
      </c>
      <c r="D934" s="212" t="s">
        <v>958</v>
      </c>
      <c r="E934" s="35">
        <v>42543</v>
      </c>
      <c r="F934" s="144" t="s">
        <v>739</v>
      </c>
      <c r="G934" s="191" t="s">
        <v>202</v>
      </c>
      <c r="H934" s="198"/>
      <c r="I934" s="186"/>
      <c r="J934" s="186"/>
      <c r="K934" s="185"/>
      <c r="L934" s="186"/>
      <c r="M934" s="36">
        <v>1915000</v>
      </c>
      <c r="N934" s="37"/>
      <c r="O934" s="37" t="s">
        <v>34</v>
      </c>
      <c r="P934" s="47" t="str">
        <f>IF(AND('331-CT'!$F$5=TH!H934,OR(N934="331",O934="331")),"x","")</f>
        <v/>
      </c>
      <c r="Q934" s="47" t="str">
        <f>IF(AND(B934='111'!$L$11,OR($N934=$Q$7,$O934=$Q$7)),"x","")</f>
        <v/>
      </c>
      <c r="R934" s="47" t="str">
        <f>IF(AND($N934=$Q$7,$B934&lt;'111'!$L$11),"x","")</f>
        <v/>
      </c>
      <c r="S934" s="47" t="str">
        <f>IF(AND($O934=$Q$7,$B934&lt;'111'!$L$11),"x","")</f>
        <v>x</v>
      </c>
    </row>
    <row r="935" spans="1:19" ht="15.75" customHeight="1">
      <c r="A935" s="152" t="str">
        <f>IF(B935&lt;&gt;"",IF(AND(B935='IN-TC'!$S$4,OR(TH!N935="1111",TH!O935="1111")),TH!D935,""),"")</f>
        <v/>
      </c>
      <c r="B935" s="34">
        <f t="shared" si="32"/>
        <v>6</v>
      </c>
      <c r="C935" s="35">
        <f t="shared" si="33"/>
        <v>42543</v>
      </c>
      <c r="D935" s="212" t="s">
        <v>959</v>
      </c>
      <c r="E935" s="35">
        <v>42543</v>
      </c>
      <c r="F935" s="144" t="s">
        <v>598</v>
      </c>
      <c r="G935" s="191" t="s">
        <v>104</v>
      </c>
      <c r="H935" s="198"/>
      <c r="I935" s="186"/>
      <c r="J935" s="186"/>
      <c r="K935" s="185"/>
      <c r="L935" s="186"/>
      <c r="M935" s="36">
        <v>170000000</v>
      </c>
      <c r="N935" s="37"/>
      <c r="O935" s="37" t="s">
        <v>34</v>
      </c>
      <c r="P935" s="47" t="str">
        <f>IF(AND('331-CT'!$F$5=TH!H935,OR(N935="331",O935="331")),"x","")</f>
        <v/>
      </c>
      <c r="Q935" s="47" t="str">
        <f>IF(AND(B935='111'!$L$11,OR($N935=$Q$7,$O935=$Q$7)),"x","")</f>
        <v/>
      </c>
      <c r="R935" s="47" t="str">
        <f>IF(AND($N935=$Q$7,$B935&lt;'111'!$L$11),"x","")</f>
        <v/>
      </c>
      <c r="S935" s="47" t="str">
        <f>IF(AND($O935=$Q$7,$B935&lt;'111'!$L$11),"x","")</f>
        <v>x</v>
      </c>
    </row>
    <row r="936" spans="1:19" ht="15.75" customHeight="1">
      <c r="A936" s="152" t="str">
        <f>IF(B936&lt;&gt;"",IF(AND(B936='IN-TC'!$S$4,OR(TH!N936="1111",TH!O936="1111")),TH!D936,""),"")</f>
        <v/>
      </c>
      <c r="B936" s="34">
        <f t="shared" si="32"/>
        <v>6</v>
      </c>
      <c r="C936" s="35">
        <f t="shared" si="33"/>
        <v>42543</v>
      </c>
      <c r="D936" s="212" t="s">
        <v>960</v>
      </c>
      <c r="E936" s="35">
        <v>42543</v>
      </c>
      <c r="F936" s="144" t="s">
        <v>740</v>
      </c>
      <c r="G936" s="191" t="s">
        <v>206</v>
      </c>
      <c r="H936" s="198" t="s">
        <v>818</v>
      </c>
      <c r="I936" s="186"/>
      <c r="J936" s="186"/>
      <c r="K936" s="185"/>
      <c r="L936" s="186"/>
      <c r="M936" s="36">
        <v>3400000000</v>
      </c>
      <c r="N936" s="37" t="s">
        <v>8</v>
      </c>
      <c r="O936" s="37" t="s">
        <v>34</v>
      </c>
      <c r="P936" s="47" t="str">
        <f>IF(AND('331-CT'!$F$5=TH!H936,OR(N936="331",O936="331")),"x","")</f>
        <v/>
      </c>
      <c r="Q936" s="47" t="str">
        <f>IF(AND(B936='111'!$L$11,OR($N936=$Q$7,$O936=$Q$7)),"x","")</f>
        <v/>
      </c>
      <c r="R936" s="47" t="str">
        <f>IF(AND($N936=$Q$7,$B936&lt;'111'!$L$11),"x","")</f>
        <v/>
      </c>
      <c r="S936" s="47" t="str">
        <f>IF(AND($O936=$Q$7,$B936&lt;'111'!$L$11),"x","")</f>
        <v>x</v>
      </c>
    </row>
    <row r="937" spans="1:19" ht="15.75" customHeight="1">
      <c r="A937" s="152" t="str">
        <f>IF(B937&lt;&gt;"",IF(AND(B937='IN-TC'!$S$4,OR(TH!N937="1111",TH!O937="1111")),TH!D937,""),"")</f>
        <v/>
      </c>
      <c r="B937" s="34">
        <f t="shared" si="32"/>
        <v>6</v>
      </c>
      <c r="C937" s="35">
        <f t="shared" si="33"/>
        <v>42543</v>
      </c>
      <c r="D937" s="212" t="s">
        <v>961</v>
      </c>
      <c r="E937" s="35">
        <v>42543</v>
      </c>
      <c r="F937" s="144" t="s">
        <v>315</v>
      </c>
      <c r="G937" s="191" t="s">
        <v>206</v>
      </c>
      <c r="H937" s="198" t="s">
        <v>823</v>
      </c>
      <c r="I937" s="186"/>
      <c r="J937" s="186"/>
      <c r="K937" s="185"/>
      <c r="L937" s="186"/>
      <c r="M937" s="36">
        <v>102006000</v>
      </c>
      <c r="N937" s="37" t="s">
        <v>8</v>
      </c>
      <c r="O937" s="37" t="s">
        <v>34</v>
      </c>
      <c r="P937" s="47" t="str">
        <f>IF(AND('331-CT'!$F$5=TH!H937,OR(N937="331",O937="331")),"x","")</f>
        <v/>
      </c>
      <c r="Q937" s="47" t="str">
        <f>IF(AND(B937='111'!$L$11,OR($N937=$Q$7,$O937=$Q$7)),"x","")</f>
        <v/>
      </c>
      <c r="R937" s="47" t="str">
        <f>IF(AND($N937=$Q$7,$B937&lt;'111'!$L$11),"x","")</f>
        <v/>
      </c>
      <c r="S937" s="47" t="str">
        <f>IF(AND($O937=$Q$7,$B937&lt;'111'!$L$11),"x","")</f>
        <v>x</v>
      </c>
    </row>
    <row r="938" spans="1:19" ht="15.75" customHeight="1">
      <c r="A938" s="152" t="str">
        <f>IF(B938&lt;&gt;"",IF(AND(B938='IN-TC'!$S$4,OR(TH!N938="1111",TH!O938="1111")),TH!D938,""),"")</f>
        <v/>
      </c>
      <c r="B938" s="34">
        <f t="shared" si="32"/>
        <v>6</v>
      </c>
      <c r="C938" s="35">
        <f t="shared" si="33"/>
        <v>42543</v>
      </c>
      <c r="D938" s="212" t="s">
        <v>961</v>
      </c>
      <c r="E938" s="35">
        <v>42543</v>
      </c>
      <c r="F938" s="144" t="s">
        <v>1424</v>
      </c>
      <c r="G938" s="191"/>
      <c r="H938" s="198"/>
      <c r="I938" s="186"/>
      <c r="J938" s="186"/>
      <c r="K938" s="185"/>
      <c r="L938" s="186"/>
      <c r="M938" s="36">
        <v>30000</v>
      </c>
      <c r="N938" s="37" t="s">
        <v>1425</v>
      </c>
      <c r="O938" s="37" t="s">
        <v>34</v>
      </c>
      <c r="P938" s="47" t="str">
        <f>IF(AND('331-CT'!$F$5=TH!H938,OR(N938="331",O938="331")),"x","")</f>
        <v/>
      </c>
      <c r="Q938" s="47" t="str">
        <f>IF(AND(B938='111'!$L$11,OR($N938=$Q$7,$O938=$Q$7)),"x","")</f>
        <v/>
      </c>
      <c r="R938" s="47" t="str">
        <f>IF(AND($N938=$Q$7,$B938&lt;'111'!$L$11),"x","")</f>
        <v/>
      </c>
      <c r="S938" s="47" t="str">
        <f>IF(AND($O938=$Q$7,$B938&lt;'111'!$L$11),"x","")</f>
        <v>x</v>
      </c>
    </row>
    <row r="939" spans="1:19" ht="15.75" customHeight="1">
      <c r="A939" s="152" t="str">
        <f>IF(B939&lt;&gt;"",IF(AND(B939='IN-TC'!$S$4,OR(TH!N939="1111",TH!O939="1111")),TH!D939,""),"")</f>
        <v/>
      </c>
      <c r="B939" s="34">
        <f t="shared" si="32"/>
        <v>6</v>
      </c>
      <c r="C939" s="35">
        <f t="shared" si="33"/>
        <v>42543</v>
      </c>
      <c r="D939" s="212" t="s">
        <v>962</v>
      </c>
      <c r="E939" s="35">
        <v>42543</v>
      </c>
      <c r="F939" s="144" t="s">
        <v>741</v>
      </c>
      <c r="G939" s="191" t="s">
        <v>205</v>
      </c>
      <c r="H939" s="198"/>
      <c r="I939" s="186"/>
      <c r="J939" s="186"/>
      <c r="K939" s="185"/>
      <c r="L939" s="186"/>
      <c r="M939" s="36">
        <v>8507000</v>
      </c>
      <c r="N939" s="37"/>
      <c r="O939" s="37" t="s">
        <v>34</v>
      </c>
      <c r="P939" s="47" t="str">
        <f>IF(AND('331-CT'!$F$5=TH!H939,OR(N939="331",O939="331")),"x","")</f>
        <v/>
      </c>
      <c r="Q939" s="47" t="str">
        <f>IF(AND(B939='111'!$L$11,OR($N939=$Q$7,$O939=$Q$7)),"x","")</f>
        <v/>
      </c>
      <c r="R939" s="47" t="str">
        <f>IF(AND($N939=$Q$7,$B939&lt;'111'!$L$11),"x","")</f>
        <v/>
      </c>
      <c r="S939" s="47" t="str">
        <f>IF(AND($O939=$Q$7,$B939&lt;'111'!$L$11),"x","")</f>
        <v>x</v>
      </c>
    </row>
    <row r="940" spans="1:19" ht="15.75" customHeight="1">
      <c r="A940" s="152" t="str">
        <f>IF(B940&lt;&gt;"",IF(AND(B940='IN-TC'!$S$4,OR(TH!N940="1111",TH!O940="1111")),TH!D940,""),"")</f>
        <v/>
      </c>
      <c r="B940" s="34">
        <f t="shared" si="32"/>
        <v>6</v>
      </c>
      <c r="C940" s="35">
        <f t="shared" si="33"/>
        <v>42543</v>
      </c>
      <c r="D940" s="212" t="s">
        <v>963</v>
      </c>
      <c r="E940" s="35">
        <v>42543</v>
      </c>
      <c r="F940" s="144" t="s">
        <v>742</v>
      </c>
      <c r="G940" s="191" t="s">
        <v>202</v>
      </c>
      <c r="H940" s="198"/>
      <c r="I940" s="186"/>
      <c r="J940" s="186"/>
      <c r="K940" s="185"/>
      <c r="L940" s="186"/>
      <c r="M940" s="36">
        <v>1881000</v>
      </c>
      <c r="N940" s="37"/>
      <c r="O940" s="37" t="s">
        <v>34</v>
      </c>
      <c r="P940" s="47" t="str">
        <f>IF(AND('331-CT'!$F$5=TH!H940,OR(N940="331",O940="331")),"x","")</f>
        <v/>
      </c>
      <c r="Q940" s="47" t="str">
        <f>IF(AND(B940='111'!$L$11,OR($N940=$Q$7,$O940=$Q$7)),"x","")</f>
        <v/>
      </c>
      <c r="R940" s="47" t="str">
        <f>IF(AND($N940=$Q$7,$B940&lt;'111'!$L$11),"x","")</f>
        <v/>
      </c>
      <c r="S940" s="47" t="str">
        <f>IF(AND($O940=$Q$7,$B940&lt;'111'!$L$11),"x","")</f>
        <v>x</v>
      </c>
    </row>
    <row r="941" spans="1:19" ht="15.75" customHeight="1">
      <c r="A941" s="152" t="str">
        <f>IF(B941&lt;&gt;"",IF(AND(B941='IN-TC'!$S$4,OR(TH!N941="1111",TH!O941="1111")),TH!D941,""),"")</f>
        <v/>
      </c>
      <c r="B941" s="34">
        <f t="shared" si="32"/>
        <v>6</v>
      </c>
      <c r="C941" s="35">
        <f t="shared" si="33"/>
        <v>42543</v>
      </c>
      <c r="D941" s="212"/>
      <c r="E941" s="35">
        <v>42543</v>
      </c>
      <c r="F941" s="144" t="s">
        <v>1458</v>
      </c>
      <c r="G941" s="191" t="s">
        <v>204</v>
      </c>
      <c r="H941" s="198" t="s">
        <v>825</v>
      </c>
      <c r="I941" s="186">
        <v>2111</v>
      </c>
      <c r="J941" s="186">
        <v>39000</v>
      </c>
      <c r="K941" s="185"/>
      <c r="L941" s="186"/>
      <c r="M941" s="36">
        <f>ROUND(I941*J941,0)</f>
        <v>82329000</v>
      </c>
      <c r="N941" s="37" t="s">
        <v>1443</v>
      </c>
      <c r="O941" s="37" t="s">
        <v>8</v>
      </c>
      <c r="P941" s="47" t="str">
        <f>IF(AND('331-CT'!$F$5=TH!H941,OR(N941="331",O941="331")),"x","")</f>
        <v/>
      </c>
      <c r="Q941" s="47" t="str">
        <f>IF(AND(B941='111'!$L$11,OR($N941=$Q$7,$O941=$Q$7)),"x","")</f>
        <v/>
      </c>
      <c r="R941" s="47" t="str">
        <f>IF(AND($N941=$Q$7,$B941&lt;'111'!$L$11),"x","")</f>
        <v/>
      </c>
      <c r="S941" s="47" t="str">
        <f>IF(AND($O941=$Q$7,$B941&lt;'111'!$L$11),"x","")</f>
        <v/>
      </c>
    </row>
    <row r="942" spans="1:19" ht="15.75" customHeight="1">
      <c r="A942" s="152" t="str">
        <f>IF(B942&lt;&gt;"",IF(AND(B942='IN-TC'!$S$4,OR(TH!N942="1111",TH!O942="1111")),TH!D942,""),"")</f>
        <v/>
      </c>
      <c r="B942" s="34">
        <f t="shared" si="32"/>
        <v>6</v>
      </c>
      <c r="C942" s="35">
        <f t="shared" si="33"/>
        <v>42543</v>
      </c>
      <c r="D942" s="212"/>
      <c r="E942" s="35">
        <v>42543</v>
      </c>
      <c r="F942" s="144" t="s">
        <v>1467</v>
      </c>
      <c r="G942" s="191"/>
      <c r="H942" s="198" t="s">
        <v>831</v>
      </c>
      <c r="I942" s="186">
        <v>1470</v>
      </c>
      <c r="J942" s="186">
        <v>12000</v>
      </c>
      <c r="K942" s="185"/>
      <c r="L942" s="186"/>
      <c r="M942" s="36">
        <f>ROUND(I942*J942,0)</f>
        <v>17640000</v>
      </c>
      <c r="N942" s="37" t="s">
        <v>1443</v>
      </c>
      <c r="O942" s="37" t="s">
        <v>8</v>
      </c>
      <c r="P942" s="47" t="str">
        <f>IF(AND('331-CT'!$F$5=TH!H942,OR(N942="331",O942="331")),"x","")</f>
        <v/>
      </c>
      <c r="Q942" s="47" t="str">
        <f>IF(AND(B942='111'!$L$11,OR($N942=$Q$7,$O942=$Q$7)),"x","")</f>
        <v/>
      </c>
      <c r="R942" s="47" t="str">
        <f>IF(AND($N942=$Q$7,$B942&lt;'111'!$L$11),"x","")</f>
        <v/>
      </c>
      <c r="S942" s="47" t="str">
        <f>IF(AND($O942=$Q$7,$B942&lt;'111'!$L$11),"x","")</f>
        <v/>
      </c>
    </row>
    <row r="943" spans="1:19" ht="15.75" customHeight="1">
      <c r="A943" s="152" t="str">
        <f>IF(B943&lt;&gt;"",IF(AND(B943='IN-TC'!$S$4,OR(TH!N943="1111",TH!O943="1111")),TH!D943,""),"")</f>
        <v/>
      </c>
      <c r="B943" s="34">
        <f t="shared" si="32"/>
        <v>6</v>
      </c>
      <c r="C943" s="35">
        <f t="shared" si="33"/>
        <v>42544</v>
      </c>
      <c r="D943" s="212" t="s">
        <v>1279</v>
      </c>
      <c r="E943" s="35">
        <v>42544</v>
      </c>
      <c r="F943" s="144" t="s">
        <v>193</v>
      </c>
      <c r="G943" s="191" t="s">
        <v>104</v>
      </c>
      <c r="H943" s="198"/>
      <c r="I943" s="186"/>
      <c r="J943" s="186"/>
      <c r="K943" s="185"/>
      <c r="L943" s="186"/>
      <c r="M943" s="36">
        <v>1960000000</v>
      </c>
      <c r="N943" s="37" t="s">
        <v>34</v>
      </c>
      <c r="O943" s="37"/>
      <c r="P943" s="47" t="str">
        <f>IF(AND('331-CT'!$F$5=TH!H943,OR(N943="331",O943="331")),"x","")</f>
        <v/>
      </c>
      <c r="Q943" s="47" t="str">
        <f>IF(AND(B943='111'!$L$11,OR($N943=$Q$7,$O943=$Q$7)),"x","")</f>
        <v/>
      </c>
      <c r="R943" s="47" t="str">
        <f>IF(AND($N943=$Q$7,$B943&lt;'111'!$L$11),"x","")</f>
        <v>x</v>
      </c>
      <c r="S943" s="47" t="str">
        <f>IF(AND($O943=$Q$7,$B943&lt;'111'!$L$11),"x","")</f>
        <v/>
      </c>
    </row>
    <row r="944" spans="1:19" ht="15.75" customHeight="1">
      <c r="A944" s="152" t="str">
        <f>IF(B944&lt;&gt;"",IF(AND(B944='IN-TC'!$S$4,OR(TH!N944="1111",TH!O944="1111")),TH!D944,""),"")</f>
        <v/>
      </c>
      <c r="B944" s="34">
        <f t="shared" si="32"/>
        <v>6</v>
      </c>
      <c r="C944" s="35">
        <f t="shared" si="33"/>
        <v>42544</v>
      </c>
      <c r="D944" s="212" t="s">
        <v>964</v>
      </c>
      <c r="E944" s="35">
        <v>42544</v>
      </c>
      <c r="F944" s="144" t="s">
        <v>743</v>
      </c>
      <c r="G944" s="191" t="s">
        <v>230</v>
      </c>
      <c r="H944" s="198"/>
      <c r="I944" s="186"/>
      <c r="J944" s="186"/>
      <c r="K944" s="185"/>
      <c r="L944" s="186"/>
      <c r="M944" s="36">
        <v>500000</v>
      </c>
      <c r="N944" s="37"/>
      <c r="O944" s="37" t="s">
        <v>34</v>
      </c>
      <c r="P944" s="47" t="str">
        <f>IF(AND('331-CT'!$F$5=TH!H944,OR(N944="331",O944="331")),"x","")</f>
        <v/>
      </c>
      <c r="Q944" s="47" t="str">
        <f>IF(AND(B944='111'!$L$11,OR($N944=$Q$7,$O944=$Q$7)),"x","")</f>
        <v/>
      </c>
      <c r="R944" s="47" t="str">
        <f>IF(AND($N944=$Q$7,$B944&lt;'111'!$L$11),"x","")</f>
        <v/>
      </c>
      <c r="S944" s="47" t="str">
        <f>IF(AND($O944=$Q$7,$B944&lt;'111'!$L$11),"x","")</f>
        <v>x</v>
      </c>
    </row>
    <row r="945" spans="1:19" ht="15.75" customHeight="1">
      <c r="A945" s="152" t="str">
        <f>IF(B945&lt;&gt;"",IF(AND(B945='IN-TC'!$S$4,OR(TH!N945="1111",TH!O945="1111")),TH!D945,""),"")</f>
        <v/>
      </c>
      <c r="B945" s="34">
        <f t="shared" si="32"/>
        <v>6</v>
      </c>
      <c r="C945" s="35">
        <f t="shared" si="33"/>
        <v>42544</v>
      </c>
      <c r="D945" s="212" t="s">
        <v>965</v>
      </c>
      <c r="E945" s="35">
        <v>42544</v>
      </c>
      <c r="F945" s="144" t="s">
        <v>744</v>
      </c>
      <c r="G945" s="191" t="s">
        <v>230</v>
      </c>
      <c r="H945" s="198"/>
      <c r="I945" s="186"/>
      <c r="J945" s="186"/>
      <c r="K945" s="185"/>
      <c r="L945" s="186"/>
      <c r="M945" s="36">
        <v>934000</v>
      </c>
      <c r="N945" s="37"/>
      <c r="O945" s="37" t="s">
        <v>34</v>
      </c>
      <c r="P945" s="47" t="str">
        <f>IF(AND('331-CT'!$F$5=TH!H945,OR(N945="331",O945="331")),"x","")</f>
        <v/>
      </c>
      <c r="Q945" s="47" t="str">
        <f>IF(AND(B945='111'!$L$11,OR($N945=$Q$7,$O945=$Q$7)),"x","")</f>
        <v/>
      </c>
      <c r="R945" s="47" t="str">
        <f>IF(AND($N945=$Q$7,$B945&lt;'111'!$L$11),"x","")</f>
        <v/>
      </c>
      <c r="S945" s="47" t="str">
        <f>IF(AND($O945=$Q$7,$B945&lt;'111'!$L$11),"x","")</f>
        <v>x</v>
      </c>
    </row>
    <row r="946" spans="1:19" ht="15.75" customHeight="1">
      <c r="A946" s="152" t="str">
        <f>IF(B946&lt;&gt;"",IF(AND(B946='IN-TC'!$S$4,OR(TH!N946="1111",TH!O946="1111")),TH!D946,""),"")</f>
        <v/>
      </c>
      <c r="B946" s="34">
        <f t="shared" si="32"/>
        <v>6</v>
      </c>
      <c r="C946" s="35">
        <f t="shared" si="33"/>
        <v>42544</v>
      </c>
      <c r="D946" s="212" t="s">
        <v>966</v>
      </c>
      <c r="E946" s="35">
        <v>42544</v>
      </c>
      <c r="F946" s="144" t="s">
        <v>745</v>
      </c>
      <c r="G946" s="191" t="s">
        <v>215</v>
      </c>
      <c r="H946" s="198"/>
      <c r="I946" s="186"/>
      <c r="J946" s="186"/>
      <c r="K946" s="185"/>
      <c r="L946" s="186"/>
      <c r="M946" s="36">
        <v>5000000</v>
      </c>
      <c r="N946" s="37"/>
      <c r="O946" s="37" t="s">
        <v>34</v>
      </c>
      <c r="P946" s="47" t="str">
        <f>IF(AND('331-CT'!$F$5=TH!H946,OR(N946="331",O946="331")),"x","")</f>
        <v/>
      </c>
      <c r="Q946" s="47" t="str">
        <f>IF(AND(B946='111'!$L$11,OR($N946=$Q$7,$O946=$Q$7)),"x","")</f>
        <v/>
      </c>
      <c r="R946" s="47" t="str">
        <f>IF(AND($N946=$Q$7,$B946&lt;'111'!$L$11),"x","")</f>
        <v/>
      </c>
      <c r="S946" s="47" t="str">
        <f>IF(AND($O946=$Q$7,$B946&lt;'111'!$L$11),"x","")</f>
        <v>x</v>
      </c>
    </row>
    <row r="947" spans="1:19" ht="15.75" customHeight="1">
      <c r="A947" s="152" t="str">
        <f>IF(B947&lt;&gt;"",IF(AND(B947='IN-TC'!$S$4,OR(TH!N947="1111",TH!O947="1111")),TH!D947,""),"")</f>
        <v/>
      </c>
      <c r="B947" s="34">
        <f t="shared" si="32"/>
        <v>6</v>
      </c>
      <c r="C947" s="35">
        <f t="shared" si="33"/>
        <v>42544</v>
      </c>
      <c r="D947" s="212" t="s">
        <v>967</v>
      </c>
      <c r="E947" s="35">
        <v>42544</v>
      </c>
      <c r="F947" s="144" t="s">
        <v>746</v>
      </c>
      <c r="G947" s="191" t="s">
        <v>203</v>
      </c>
      <c r="H947" s="198" t="s">
        <v>1042</v>
      </c>
      <c r="I947" s="186"/>
      <c r="J947" s="186"/>
      <c r="K947" s="185"/>
      <c r="L947" s="186"/>
      <c r="M947" s="36">
        <v>25033000</v>
      </c>
      <c r="N947" s="37" t="s">
        <v>814</v>
      </c>
      <c r="O947" s="37" t="s">
        <v>34</v>
      </c>
      <c r="P947" s="47" t="str">
        <f>IF(AND('331-CT'!$F$5=TH!H947,OR(N947="331",O947="331")),"x","")</f>
        <v/>
      </c>
      <c r="Q947" s="47" t="str">
        <f>IF(AND(B947='111'!$L$11,OR($N947=$Q$7,$O947=$Q$7)),"x","")</f>
        <v/>
      </c>
      <c r="R947" s="47" t="str">
        <f>IF(AND($N947=$Q$7,$B947&lt;'111'!$L$11),"x","")</f>
        <v/>
      </c>
      <c r="S947" s="47" t="str">
        <f>IF(AND($O947=$Q$7,$B947&lt;'111'!$L$11),"x","")</f>
        <v>x</v>
      </c>
    </row>
    <row r="948" spans="1:19" ht="15.75" customHeight="1">
      <c r="A948" s="152" t="str">
        <f>IF(B948&lt;&gt;"",IF(AND(B948='IN-TC'!$S$4,OR(TH!N948="1111",TH!O948="1111")),TH!D948,""),"")</f>
        <v/>
      </c>
      <c r="B948" s="34">
        <f t="shared" si="32"/>
        <v>6</v>
      </c>
      <c r="C948" s="35">
        <f t="shared" si="33"/>
        <v>42544</v>
      </c>
      <c r="D948" s="212" t="s">
        <v>968</v>
      </c>
      <c r="E948" s="35">
        <v>42544</v>
      </c>
      <c r="F948" s="144" t="s">
        <v>747</v>
      </c>
      <c r="G948" s="191" t="s">
        <v>205</v>
      </c>
      <c r="H948" s="198"/>
      <c r="I948" s="186"/>
      <c r="J948" s="186"/>
      <c r="K948" s="185"/>
      <c r="L948" s="186"/>
      <c r="M948" s="36">
        <v>20000000</v>
      </c>
      <c r="N948" s="37"/>
      <c r="O948" s="37" t="s">
        <v>34</v>
      </c>
      <c r="P948" s="47" t="str">
        <f>IF(AND('331-CT'!$F$5=TH!H948,OR(N948="331",O948="331")),"x","")</f>
        <v/>
      </c>
      <c r="Q948" s="47" t="str">
        <f>IF(AND(B948='111'!$L$11,OR($N948=$Q$7,$O948=$Q$7)),"x","")</f>
        <v/>
      </c>
      <c r="R948" s="47" t="str">
        <f>IF(AND($N948=$Q$7,$B948&lt;'111'!$L$11),"x","")</f>
        <v/>
      </c>
      <c r="S948" s="47" t="str">
        <f>IF(AND($O948=$Q$7,$B948&lt;'111'!$L$11),"x","")</f>
        <v>x</v>
      </c>
    </row>
    <row r="949" spans="1:19" ht="15.75" customHeight="1">
      <c r="A949" s="152" t="str">
        <f>IF(B949&lt;&gt;"",IF(AND(B949='IN-TC'!$S$4,OR(TH!N949="1111",TH!O949="1111")),TH!D949,""),"")</f>
        <v/>
      </c>
      <c r="B949" s="34">
        <f t="shared" si="32"/>
        <v>6</v>
      </c>
      <c r="C949" s="35">
        <f t="shared" si="33"/>
        <v>42544</v>
      </c>
      <c r="D949" s="212" t="s">
        <v>969</v>
      </c>
      <c r="E949" s="35">
        <v>42544</v>
      </c>
      <c r="F949" s="144" t="s">
        <v>748</v>
      </c>
      <c r="G949" s="191" t="s">
        <v>105</v>
      </c>
      <c r="H949" s="198" t="s">
        <v>1413</v>
      </c>
      <c r="I949" s="186"/>
      <c r="J949" s="186"/>
      <c r="K949" s="185"/>
      <c r="L949" s="186"/>
      <c r="M949" s="36">
        <v>1800000000</v>
      </c>
      <c r="N949" s="37" t="s">
        <v>812</v>
      </c>
      <c r="O949" s="37" t="s">
        <v>34</v>
      </c>
      <c r="P949" s="47" t="str">
        <f>IF(AND('331-CT'!$F$5=TH!H949,OR(N949="331",O949="331")),"x","")</f>
        <v/>
      </c>
      <c r="Q949" s="47" t="str">
        <f>IF(AND(B949='111'!$L$11,OR($N949=$Q$7,$O949=$Q$7)),"x","")</f>
        <v/>
      </c>
      <c r="R949" s="47" t="str">
        <f>IF(AND($N949=$Q$7,$B949&lt;'111'!$L$11),"x","")</f>
        <v/>
      </c>
      <c r="S949" s="47" t="str">
        <f>IF(AND($O949=$Q$7,$B949&lt;'111'!$L$11),"x","")</f>
        <v>x</v>
      </c>
    </row>
    <row r="950" spans="1:19" ht="15.75" customHeight="1">
      <c r="A950" s="152" t="str">
        <f>IF(B950&lt;&gt;"",IF(AND(B950='IN-TC'!$S$4,OR(TH!N950="1111",TH!O950="1111")),TH!D950,""),"")</f>
        <v/>
      </c>
      <c r="B950" s="34">
        <f t="shared" si="32"/>
        <v>6</v>
      </c>
      <c r="C950" s="35">
        <f t="shared" si="33"/>
        <v>42544</v>
      </c>
      <c r="D950" s="212" t="s">
        <v>970</v>
      </c>
      <c r="E950" s="35">
        <v>42544</v>
      </c>
      <c r="F950" s="144" t="s">
        <v>749</v>
      </c>
      <c r="G950" s="191" t="s">
        <v>203</v>
      </c>
      <c r="H950" s="198" t="s">
        <v>1409</v>
      </c>
      <c r="I950" s="186"/>
      <c r="J950" s="186"/>
      <c r="K950" s="185"/>
      <c r="L950" s="186"/>
      <c r="M950" s="36">
        <v>10011000</v>
      </c>
      <c r="N950" s="37" t="s">
        <v>814</v>
      </c>
      <c r="O950" s="37" t="s">
        <v>34</v>
      </c>
      <c r="P950" s="47" t="str">
        <f>IF(AND('331-CT'!$F$5=TH!H950,OR(N950="331",O950="331")),"x","")</f>
        <v/>
      </c>
      <c r="Q950" s="47" t="str">
        <f>IF(AND(B950='111'!$L$11,OR($N950=$Q$7,$O950=$Q$7)),"x","")</f>
        <v/>
      </c>
      <c r="R950" s="47" t="str">
        <f>IF(AND($N950=$Q$7,$B950&lt;'111'!$L$11),"x","")</f>
        <v/>
      </c>
      <c r="S950" s="47" t="str">
        <f>IF(AND($O950=$Q$7,$B950&lt;'111'!$L$11),"x","")</f>
        <v>x</v>
      </c>
    </row>
    <row r="951" spans="1:19" ht="15.75" customHeight="1">
      <c r="A951" s="152" t="str">
        <f>IF(B951&lt;&gt;"",IF(AND(B951='IN-TC'!$S$4,OR(TH!N951="1111",TH!O951="1111")),TH!D951,""),"")</f>
        <v/>
      </c>
      <c r="B951" s="34">
        <f t="shared" si="32"/>
        <v>6</v>
      </c>
      <c r="C951" s="35">
        <f t="shared" si="33"/>
        <v>42544</v>
      </c>
      <c r="D951" s="212" t="s">
        <v>971</v>
      </c>
      <c r="E951" s="35">
        <v>42544</v>
      </c>
      <c r="F951" s="144" t="s">
        <v>332</v>
      </c>
      <c r="G951" s="191" t="s">
        <v>206</v>
      </c>
      <c r="H951" s="198" t="s">
        <v>829</v>
      </c>
      <c r="I951" s="186"/>
      <c r="J951" s="186"/>
      <c r="K951" s="185"/>
      <c r="L951" s="186"/>
      <c r="M951" s="36">
        <v>86319000</v>
      </c>
      <c r="N951" s="37" t="s">
        <v>8</v>
      </c>
      <c r="O951" s="37" t="s">
        <v>34</v>
      </c>
      <c r="P951" s="47" t="str">
        <f>IF(AND('331-CT'!$F$5=TH!H951,OR(N951="331",O951="331")),"x","")</f>
        <v/>
      </c>
      <c r="Q951" s="47" t="str">
        <f>IF(AND(B951='111'!$L$11,OR($N951=$Q$7,$O951=$Q$7)),"x","")</f>
        <v/>
      </c>
      <c r="R951" s="47" t="str">
        <f>IF(AND($N951=$Q$7,$B951&lt;'111'!$L$11),"x","")</f>
        <v/>
      </c>
      <c r="S951" s="47" t="str">
        <f>IF(AND($O951=$Q$7,$B951&lt;'111'!$L$11),"x","")</f>
        <v>x</v>
      </c>
    </row>
    <row r="952" spans="1:19" ht="15.75" customHeight="1">
      <c r="A952" s="152" t="str">
        <f>IF(B952&lt;&gt;"",IF(AND(B952='IN-TC'!$S$4,OR(TH!N952="1111",TH!O952="1111")),TH!D952,""),"")</f>
        <v/>
      </c>
      <c r="B952" s="34">
        <f t="shared" si="32"/>
        <v>6</v>
      </c>
      <c r="C952" s="35">
        <f t="shared" si="33"/>
        <v>42544</v>
      </c>
      <c r="D952" s="212" t="s">
        <v>972</v>
      </c>
      <c r="E952" s="35">
        <v>42544</v>
      </c>
      <c r="F952" s="144" t="s">
        <v>261</v>
      </c>
      <c r="G952" s="191" t="s">
        <v>206</v>
      </c>
      <c r="H952" s="198" t="s">
        <v>822</v>
      </c>
      <c r="I952" s="186"/>
      <c r="J952" s="186"/>
      <c r="K952" s="185"/>
      <c r="L952" s="186"/>
      <c r="M952" s="36">
        <v>10017000</v>
      </c>
      <c r="N952" s="37" t="s">
        <v>8</v>
      </c>
      <c r="O952" s="37" t="s">
        <v>34</v>
      </c>
      <c r="P952" s="47" t="str">
        <f>IF(AND('331-CT'!$F$5=TH!H952,OR(N952="331",O952="331")),"x","")</f>
        <v/>
      </c>
      <c r="Q952" s="47" t="str">
        <f>IF(AND(B952='111'!$L$11,OR($N952=$Q$7,$O952=$Q$7)),"x","")</f>
        <v/>
      </c>
      <c r="R952" s="47" t="str">
        <f>IF(AND($N952=$Q$7,$B952&lt;'111'!$L$11),"x","")</f>
        <v/>
      </c>
      <c r="S952" s="47" t="str">
        <f>IF(AND($O952=$Q$7,$B952&lt;'111'!$L$11),"x","")</f>
        <v>x</v>
      </c>
    </row>
    <row r="953" spans="1:19" ht="15.75" customHeight="1">
      <c r="A953" s="152" t="str">
        <f>IF(B953&lt;&gt;"",IF(AND(B953='IN-TC'!$S$4,OR(TH!N953="1111",TH!O953="1111")),TH!D953,""),"")</f>
        <v/>
      </c>
      <c r="B953" s="34">
        <f t="shared" si="32"/>
        <v>6</v>
      </c>
      <c r="C953" s="35">
        <f t="shared" si="33"/>
        <v>42544</v>
      </c>
      <c r="D953" s="212" t="s">
        <v>973</v>
      </c>
      <c r="E953" s="35">
        <v>42544</v>
      </c>
      <c r="F953" s="144" t="s">
        <v>750</v>
      </c>
      <c r="G953" s="191" t="s">
        <v>113</v>
      </c>
      <c r="H953" s="198"/>
      <c r="I953" s="186"/>
      <c r="J953" s="186"/>
      <c r="K953" s="185"/>
      <c r="L953" s="186"/>
      <c r="M953" s="36">
        <v>20000000</v>
      </c>
      <c r="N953" s="37"/>
      <c r="O953" s="37" t="s">
        <v>34</v>
      </c>
      <c r="P953" s="47" t="str">
        <f>IF(AND('331-CT'!$F$5=TH!H953,OR(N953="331",O953="331")),"x","")</f>
        <v/>
      </c>
      <c r="Q953" s="47" t="str">
        <f>IF(AND(B953='111'!$L$11,OR($N953=$Q$7,$O953=$Q$7)),"x","")</f>
        <v/>
      </c>
      <c r="R953" s="47" t="str">
        <f>IF(AND($N953=$Q$7,$B953&lt;'111'!$L$11),"x","")</f>
        <v/>
      </c>
      <c r="S953" s="47" t="str">
        <f>IF(AND($O953=$Q$7,$B953&lt;'111'!$L$11),"x","")</f>
        <v>x</v>
      </c>
    </row>
    <row r="954" spans="1:19" ht="15.75" customHeight="1">
      <c r="A954" s="152" t="str">
        <f>IF(B954&lt;&gt;"",IF(AND(B954='IN-TC'!$S$4,OR(TH!N954="1111",TH!O954="1111")),TH!D954,""),"")</f>
        <v/>
      </c>
      <c r="B954" s="34">
        <f t="shared" si="32"/>
        <v>6</v>
      </c>
      <c r="C954" s="35">
        <f t="shared" si="33"/>
        <v>42544</v>
      </c>
      <c r="D954" s="212" t="s">
        <v>974</v>
      </c>
      <c r="E954" s="35">
        <v>42544</v>
      </c>
      <c r="F954" s="144" t="s">
        <v>751</v>
      </c>
      <c r="G954" s="191" t="s">
        <v>202</v>
      </c>
      <c r="H954" s="198"/>
      <c r="I954" s="186"/>
      <c r="J954" s="186"/>
      <c r="K954" s="185"/>
      <c r="L954" s="186"/>
      <c r="M954" s="36">
        <v>6750000</v>
      </c>
      <c r="N954" s="37"/>
      <c r="O954" s="37" t="s">
        <v>34</v>
      </c>
      <c r="P954" s="47" t="str">
        <f>IF(AND('331-CT'!$F$5=TH!H954,OR(N954="331",O954="331")),"x","")</f>
        <v/>
      </c>
      <c r="Q954" s="47" t="str">
        <f>IF(AND(B954='111'!$L$11,OR($N954=$Q$7,$O954=$Q$7)),"x","")</f>
        <v/>
      </c>
      <c r="R954" s="47" t="str">
        <f>IF(AND($N954=$Q$7,$B954&lt;'111'!$L$11),"x","")</f>
        <v/>
      </c>
      <c r="S954" s="47" t="str">
        <f>IF(AND($O954=$Q$7,$B954&lt;'111'!$L$11),"x","")</f>
        <v>x</v>
      </c>
    </row>
    <row r="955" spans="1:19" ht="15.75" customHeight="1">
      <c r="A955" s="152" t="str">
        <f>IF(B955&lt;&gt;"",IF(AND(B955='IN-TC'!$S$4,OR(TH!N955="1111",TH!O955="1111")),TH!D955,""),"")</f>
        <v/>
      </c>
      <c r="B955" s="34">
        <f t="shared" si="32"/>
        <v>6</v>
      </c>
      <c r="C955" s="35">
        <f t="shared" si="33"/>
        <v>42544</v>
      </c>
      <c r="D955" s="212" t="s">
        <v>975</v>
      </c>
      <c r="E955" s="35">
        <v>42544</v>
      </c>
      <c r="F955" s="144" t="s">
        <v>752</v>
      </c>
      <c r="G955" s="191" t="s">
        <v>209</v>
      </c>
      <c r="H955" s="198"/>
      <c r="I955" s="186"/>
      <c r="J955" s="186"/>
      <c r="K955" s="185"/>
      <c r="L955" s="186"/>
      <c r="M955" s="36">
        <v>4548000</v>
      </c>
      <c r="N955" s="37"/>
      <c r="O955" s="37" t="s">
        <v>34</v>
      </c>
      <c r="P955" s="47" t="str">
        <f>IF(AND('331-CT'!$F$5=TH!H955,OR(N955="331",O955="331")),"x","")</f>
        <v/>
      </c>
      <c r="Q955" s="47" t="str">
        <f>IF(AND(B955='111'!$L$11,OR($N955=$Q$7,$O955=$Q$7)),"x","")</f>
        <v/>
      </c>
      <c r="R955" s="47" t="str">
        <f>IF(AND($N955=$Q$7,$B955&lt;'111'!$L$11),"x","")</f>
        <v/>
      </c>
      <c r="S955" s="47" t="str">
        <f>IF(AND($O955=$Q$7,$B955&lt;'111'!$L$11),"x","")</f>
        <v>x</v>
      </c>
    </row>
    <row r="956" spans="1:19" ht="15.75" customHeight="1">
      <c r="A956" s="152" t="str">
        <f>IF(B956&lt;&gt;"",IF(AND(B956='IN-TC'!$S$4,OR(TH!N956="1111",TH!O956="1111")),TH!D956,""),"")</f>
        <v/>
      </c>
      <c r="B956" s="34">
        <f t="shared" si="32"/>
        <v>6</v>
      </c>
      <c r="C956" s="35">
        <f t="shared" si="33"/>
        <v>42544</v>
      </c>
      <c r="D956" s="212" t="s">
        <v>976</v>
      </c>
      <c r="E956" s="35">
        <v>42544</v>
      </c>
      <c r="F956" s="144" t="s">
        <v>753</v>
      </c>
      <c r="G956" s="191" t="s">
        <v>205</v>
      </c>
      <c r="H956" s="198"/>
      <c r="I956" s="186"/>
      <c r="J956" s="186"/>
      <c r="K956" s="185"/>
      <c r="L956" s="186"/>
      <c r="M956" s="36">
        <v>1500000</v>
      </c>
      <c r="N956" s="37"/>
      <c r="O956" s="37" t="s">
        <v>34</v>
      </c>
      <c r="P956" s="47" t="str">
        <f>IF(AND('331-CT'!$F$5=TH!H956,OR(N956="331",O956="331")),"x","")</f>
        <v/>
      </c>
      <c r="Q956" s="47" t="str">
        <f>IF(AND(B956='111'!$L$11,OR($N956=$Q$7,$O956=$Q$7)),"x","")</f>
        <v/>
      </c>
      <c r="R956" s="47" t="str">
        <f>IF(AND($N956=$Q$7,$B956&lt;'111'!$L$11),"x","")</f>
        <v/>
      </c>
      <c r="S956" s="47" t="str">
        <f>IF(AND($O956=$Q$7,$B956&lt;'111'!$L$11),"x","")</f>
        <v>x</v>
      </c>
    </row>
    <row r="957" spans="1:19" ht="15.75" customHeight="1">
      <c r="A957" s="152" t="str">
        <f>IF(B957&lt;&gt;"",IF(AND(B957='IN-TC'!$S$4,OR(TH!N957="1111",TH!O957="1111")),TH!D957,""),"")</f>
        <v/>
      </c>
      <c r="B957" s="34">
        <f t="shared" si="32"/>
        <v>6</v>
      </c>
      <c r="C957" s="35">
        <f t="shared" si="33"/>
        <v>42544</v>
      </c>
      <c r="D957" s="212" t="s">
        <v>977</v>
      </c>
      <c r="E957" s="35">
        <v>42544</v>
      </c>
      <c r="F957" s="144" t="s">
        <v>754</v>
      </c>
      <c r="G957" s="191" t="s">
        <v>213</v>
      </c>
      <c r="H957" s="198"/>
      <c r="I957" s="186"/>
      <c r="J957" s="186"/>
      <c r="K957" s="185"/>
      <c r="L957" s="186"/>
      <c r="M957" s="36">
        <v>2377000</v>
      </c>
      <c r="N957" s="37"/>
      <c r="O957" s="37" t="s">
        <v>34</v>
      </c>
      <c r="P957" s="47" t="str">
        <f>IF(AND('331-CT'!$F$5=TH!H957,OR(N957="331",O957="331")),"x","")</f>
        <v/>
      </c>
      <c r="Q957" s="47" t="str">
        <f>IF(AND(B957='111'!$L$11,OR($N957=$Q$7,$O957=$Q$7)),"x","")</f>
        <v/>
      </c>
      <c r="R957" s="47" t="str">
        <f>IF(AND($N957=$Q$7,$B957&lt;'111'!$L$11),"x","")</f>
        <v/>
      </c>
      <c r="S957" s="47" t="str">
        <f>IF(AND($O957=$Q$7,$B957&lt;'111'!$L$11),"x","")</f>
        <v>x</v>
      </c>
    </row>
    <row r="958" spans="1:19" ht="15.75" customHeight="1">
      <c r="A958" s="152" t="str">
        <f>IF(B958&lt;&gt;"",IF(AND(B958='IN-TC'!$S$4,OR(TH!N958="1111",TH!O958="1111")),TH!D958,""),"")</f>
        <v/>
      </c>
      <c r="B958" s="34">
        <f t="shared" si="32"/>
        <v>6</v>
      </c>
      <c r="C958" s="35">
        <f t="shared" si="33"/>
        <v>42545</v>
      </c>
      <c r="D958" s="212" t="s">
        <v>1280</v>
      </c>
      <c r="E958" s="35">
        <v>42545</v>
      </c>
      <c r="F958" s="144" t="s">
        <v>194</v>
      </c>
      <c r="G958" s="191" t="s">
        <v>104</v>
      </c>
      <c r="H958" s="198"/>
      <c r="I958" s="186"/>
      <c r="J958" s="186"/>
      <c r="K958" s="185"/>
      <c r="L958" s="186"/>
      <c r="M958" s="36">
        <v>2000000</v>
      </c>
      <c r="N958" s="37" t="s">
        <v>34</v>
      </c>
      <c r="O958" s="37"/>
      <c r="P958" s="47" t="str">
        <f>IF(AND('331-CT'!$F$5=TH!H958,OR(N958="331",O958="331")),"x","")</f>
        <v/>
      </c>
      <c r="Q958" s="47" t="str">
        <f>IF(AND(B958='111'!$L$11,OR($N958=$Q$7,$O958=$Q$7)),"x","")</f>
        <v/>
      </c>
      <c r="R958" s="47" t="str">
        <f>IF(AND($N958=$Q$7,$B958&lt;'111'!$L$11),"x","")</f>
        <v>x</v>
      </c>
      <c r="S958" s="47" t="str">
        <f>IF(AND($O958=$Q$7,$B958&lt;'111'!$L$11),"x","")</f>
        <v/>
      </c>
    </row>
    <row r="959" spans="1:19" ht="15.75" customHeight="1">
      <c r="A959" s="152" t="str">
        <f>IF(B959&lt;&gt;"",IF(AND(B959='IN-TC'!$S$4,OR(TH!N959="1111",TH!O959="1111")),TH!D959,""),"")</f>
        <v/>
      </c>
      <c r="B959" s="34">
        <f t="shared" si="32"/>
        <v>6</v>
      </c>
      <c r="C959" s="35">
        <f t="shared" si="33"/>
        <v>42545</v>
      </c>
      <c r="D959" s="212" t="s">
        <v>1281</v>
      </c>
      <c r="E959" s="35">
        <v>42545</v>
      </c>
      <c r="F959" s="144" t="s">
        <v>195</v>
      </c>
      <c r="G959" s="191" t="s">
        <v>104</v>
      </c>
      <c r="H959" s="198"/>
      <c r="I959" s="186"/>
      <c r="J959" s="186"/>
      <c r="K959" s="185"/>
      <c r="L959" s="186"/>
      <c r="M959" s="36">
        <v>3348750000</v>
      </c>
      <c r="N959" s="37" t="s">
        <v>34</v>
      </c>
      <c r="O959" s="37"/>
      <c r="P959" s="47" t="str">
        <f>IF(AND('331-CT'!$F$5=TH!H959,OR(N959="331",O959="331")),"x","")</f>
        <v/>
      </c>
      <c r="Q959" s="47" t="str">
        <f>IF(AND(B959='111'!$L$11,OR($N959=$Q$7,$O959=$Q$7)),"x","")</f>
        <v/>
      </c>
      <c r="R959" s="47" t="str">
        <f>IF(AND($N959=$Q$7,$B959&lt;'111'!$L$11),"x","")</f>
        <v>x</v>
      </c>
      <c r="S959" s="47" t="str">
        <f>IF(AND($O959=$Q$7,$B959&lt;'111'!$L$11),"x","")</f>
        <v/>
      </c>
    </row>
    <row r="960" spans="1:19" ht="15.75" customHeight="1">
      <c r="A960" s="152" t="str">
        <f>IF(B960&lt;&gt;"",IF(AND(B960='IN-TC'!$S$4,OR(TH!N960="1111",TH!O960="1111")),TH!D960,""),"")</f>
        <v/>
      </c>
      <c r="B960" s="34">
        <f t="shared" si="32"/>
        <v>6</v>
      </c>
      <c r="C960" s="35">
        <f t="shared" si="33"/>
        <v>42545</v>
      </c>
      <c r="D960" s="212" t="s">
        <v>978</v>
      </c>
      <c r="E960" s="35">
        <v>42545</v>
      </c>
      <c r="F960" s="144" t="s">
        <v>748</v>
      </c>
      <c r="G960" s="191" t="s">
        <v>105</v>
      </c>
      <c r="H960" s="198" t="s">
        <v>1413</v>
      </c>
      <c r="I960" s="186"/>
      <c r="J960" s="186"/>
      <c r="K960" s="185"/>
      <c r="L960" s="186"/>
      <c r="M960" s="36">
        <v>200000000</v>
      </c>
      <c r="N960" s="37" t="s">
        <v>812</v>
      </c>
      <c r="O960" s="37" t="s">
        <v>34</v>
      </c>
      <c r="P960" s="47" t="str">
        <f>IF(AND('331-CT'!$F$5=TH!H960,OR(N960="331",O960="331")),"x","")</f>
        <v/>
      </c>
      <c r="Q960" s="47" t="str">
        <f>IF(AND(B960='111'!$L$11,OR($N960=$Q$7,$O960=$Q$7)),"x","")</f>
        <v/>
      </c>
      <c r="R960" s="47" t="str">
        <f>IF(AND($N960=$Q$7,$B960&lt;'111'!$L$11),"x","")</f>
        <v/>
      </c>
      <c r="S960" s="47" t="str">
        <f>IF(AND($O960=$Q$7,$B960&lt;'111'!$L$11),"x","")</f>
        <v>x</v>
      </c>
    </row>
    <row r="961" spans="1:19" ht="15.75" customHeight="1">
      <c r="A961" s="152" t="str">
        <f>IF(B961&lt;&gt;"",IF(AND(B961='IN-TC'!$S$4,OR(TH!N961="1111",TH!O961="1111")),TH!D961,""),"")</f>
        <v/>
      </c>
      <c r="B961" s="34">
        <f t="shared" si="32"/>
        <v>6</v>
      </c>
      <c r="C961" s="35">
        <f t="shared" si="33"/>
        <v>42545</v>
      </c>
      <c r="D961" s="212" t="s">
        <v>979</v>
      </c>
      <c r="E961" s="35">
        <v>42545</v>
      </c>
      <c r="F961" s="144" t="s">
        <v>715</v>
      </c>
      <c r="G961" s="191" t="s">
        <v>206</v>
      </c>
      <c r="H961" s="198" t="s">
        <v>826</v>
      </c>
      <c r="I961" s="186"/>
      <c r="J961" s="186"/>
      <c r="K961" s="185"/>
      <c r="L961" s="186"/>
      <c r="M961" s="36">
        <v>60248000</v>
      </c>
      <c r="N961" s="37" t="s">
        <v>8</v>
      </c>
      <c r="O961" s="37" t="s">
        <v>34</v>
      </c>
      <c r="P961" s="47" t="str">
        <f>IF(AND('331-CT'!$F$5=TH!H961,OR(N961="331",O961="331")),"x","")</f>
        <v/>
      </c>
      <c r="Q961" s="47" t="str">
        <f>IF(AND(B961='111'!$L$11,OR($N961=$Q$7,$O961=$Q$7)),"x","")</f>
        <v/>
      </c>
      <c r="R961" s="47" t="str">
        <f>IF(AND($N961=$Q$7,$B961&lt;'111'!$L$11),"x","")</f>
        <v/>
      </c>
      <c r="S961" s="47" t="str">
        <f>IF(AND($O961=$Q$7,$B961&lt;'111'!$L$11),"x","")</f>
        <v>x</v>
      </c>
    </row>
    <row r="962" spans="1:19" ht="15.75" customHeight="1">
      <c r="A962" s="152" t="str">
        <f>IF(B962&lt;&gt;"",IF(AND(B962='IN-TC'!$S$4,OR(TH!N962="1111",TH!O962="1111")),TH!D962,""),"")</f>
        <v/>
      </c>
      <c r="B962" s="34">
        <f t="shared" si="32"/>
        <v>6</v>
      </c>
      <c r="C962" s="35">
        <f t="shared" si="33"/>
        <v>42545</v>
      </c>
      <c r="D962" s="212" t="s">
        <v>980</v>
      </c>
      <c r="E962" s="35">
        <v>42545</v>
      </c>
      <c r="F962" s="144" t="s">
        <v>569</v>
      </c>
      <c r="G962" s="191" t="s">
        <v>206</v>
      </c>
      <c r="H962" s="198" t="s">
        <v>815</v>
      </c>
      <c r="I962" s="186"/>
      <c r="J962" s="186"/>
      <c r="K962" s="185"/>
      <c r="L962" s="186"/>
      <c r="M962" s="36">
        <v>150000000</v>
      </c>
      <c r="N962" s="37" t="s">
        <v>8</v>
      </c>
      <c r="O962" s="37" t="s">
        <v>34</v>
      </c>
      <c r="P962" s="47" t="str">
        <f>IF(AND('331-CT'!$F$5=TH!H962,OR(N962="331",O962="331")),"x","")</f>
        <v/>
      </c>
      <c r="Q962" s="47" t="str">
        <f>IF(AND(B962='111'!$L$11,OR($N962=$Q$7,$O962=$Q$7)),"x","")</f>
        <v/>
      </c>
      <c r="R962" s="47" t="str">
        <f>IF(AND($N962=$Q$7,$B962&lt;'111'!$L$11),"x","")</f>
        <v/>
      </c>
      <c r="S962" s="47" t="str">
        <f>IF(AND($O962=$Q$7,$B962&lt;'111'!$L$11),"x","")</f>
        <v>x</v>
      </c>
    </row>
    <row r="963" spans="1:19" ht="15.75" customHeight="1">
      <c r="A963" s="152" t="str">
        <f>IF(B963&lt;&gt;"",IF(AND(B963='IN-TC'!$S$4,OR(TH!N963="1111",TH!O963="1111")),TH!D963,""),"")</f>
        <v/>
      </c>
      <c r="B963" s="34">
        <f t="shared" si="32"/>
        <v>6</v>
      </c>
      <c r="C963" s="35">
        <f t="shared" si="33"/>
        <v>42545</v>
      </c>
      <c r="D963" s="212" t="s">
        <v>981</v>
      </c>
      <c r="E963" s="35">
        <v>42545</v>
      </c>
      <c r="F963" s="144" t="s">
        <v>755</v>
      </c>
      <c r="G963" s="191" t="s">
        <v>110</v>
      </c>
      <c r="H963" s="198"/>
      <c r="I963" s="186"/>
      <c r="J963" s="186"/>
      <c r="K963" s="185"/>
      <c r="L963" s="186"/>
      <c r="M963" s="36">
        <v>1000000</v>
      </c>
      <c r="N963" s="37"/>
      <c r="O963" s="37" t="s">
        <v>34</v>
      </c>
      <c r="P963" s="47" t="str">
        <f>IF(AND('331-CT'!$F$5=TH!H963,OR(N963="331",O963="331")),"x","")</f>
        <v/>
      </c>
      <c r="Q963" s="47" t="str">
        <f>IF(AND(B963='111'!$L$11,OR($N963=$Q$7,$O963=$Q$7)),"x","")</f>
        <v/>
      </c>
      <c r="R963" s="47" t="str">
        <f>IF(AND($N963=$Q$7,$B963&lt;'111'!$L$11),"x","")</f>
        <v/>
      </c>
      <c r="S963" s="47" t="str">
        <f>IF(AND($O963=$Q$7,$B963&lt;'111'!$L$11),"x","")</f>
        <v>x</v>
      </c>
    </row>
    <row r="964" spans="1:19" ht="15.75" customHeight="1">
      <c r="A964" s="152" t="str">
        <f>IF(B964&lt;&gt;"",IF(AND(B964='IN-TC'!$S$4,OR(TH!N964="1111",TH!O964="1111")),TH!D964,""),"")</f>
        <v/>
      </c>
      <c r="B964" s="34">
        <f t="shared" si="32"/>
        <v>6</v>
      </c>
      <c r="C964" s="35">
        <f t="shared" si="33"/>
        <v>42545</v>
      </c>
      <c r="D964" s="212" t="s">
        <v>982</v>
      </c>
      <c r="E964" s="35">
        <v>42545</v>
      </c>
      <c r="F964" s="144" t="s">
        <v>756</v>
      </c>
      <c r="G964" s="191" t="s">
        <v>209</v>
      </c>
      <c r="H964" s="198"/>
      <c r="I964" s="186"/>
      <c r="J964" s="186"/>
      <c r="K964" s="185"/>
      <c r="L964" s="186"/>
      <c r="M964" s="36">
        <v>242000</v>
      </c>
      <c r="N964" s="37"/>
      <c r="O964" s="37" t="s">
        <v>34</v>
      </c>
      <c r="P964" s="47" t="str">
        <f>IF(AND('331-CT'!$F$5=TH!H964,OR(N964="331",O964="331")),"x","")</f>
        <v/>
      </c>
      <c r="Q964" s="47" t="str">
        <f>IF(AND(B964='111'!$L$11,OR($N964=$Q$7,$O964=$Q$7)),"x","")</f>
        <v/>
      </c>
      <c r="R964" s="47" t="str">
        <f>IF(AND($N964=$Q$7,$B964&lt;'111'!$L$11),"x","")</f>
        <v/>
      </c>
      <c r="S964" s="47" t="str">
        <f>IF(AND($O964=$Q$7,$B964&lt;'111'!$L$11),"x","")</f>
        <v>x</v>
      </c>
    </row>
    <row r="965" spans="1:19" ht="15.75" customHeight="1">
      <c r="A965" s="152" t="str">
        <f>IF(B965&lt;&gt;"",IF(AND(B965='IN-TC'!$S$4,OR(TH!N965="1111",TH!O965="1111")),TH!D965,""),"")</f>
        <v/>
      </c>
      <c r="B965" s="34">
        <f t="shared" si="32"/>
        <v>6</v>
      </c>
      <c r="C965" s="35">
        <f t="shared" si="33"/>
        <v>42545</v>
      </c>
      <c r="D965" s="212" t="s">
        <v>983</v>
      </c>
      <c r="E965" s="35">
        <v>42545</v>
      </c>
      <c r="F965" s="144" t="s">
        <v>380</v>
      </c>
      <c r="G965" s="191" t="s">
        <v>113</v>
      </c>
      <c r="H965" s="198"/>
      <c r="I965" s="186"/>
      <c r="J965" s="186"/>
      <c r="K965" s="185"/>
      <c r="L965" s="186"/>
      <c r="M965" s="36">
        <v>170000000</v>
      </c>
      <c r="N965" s="37"/>
      <c r="O965" s="37" t="s">
        <v>34</v>
      </c>
      <c r="P965" s="47" t="str">
        <f>IF(AND('331-CT'!$F$5=TH!H965,OR(N965="331",O965="331")),"x","")</f>
        <v/>
      </c>
      <c r="Q965" s="47" t="str">
        <f>IF(AND(B965='111'!$L$11,OR($N965=$Q$7,$O965=$Q$7)),"x","")</f>
        <v/>
      </c>
      <c r="R965" s="47" t="str">
        <f>IF(AND($N965=$Q$7,$B965&lt;'111'!$L$11),"x","")</f>
        <v/>
      </c>
      <c r="S965" s="47" t="str">
        <f>IF(AND($O965=$Q$7,$B965&lt;'111'!$L$11),"x","")</f>
        <v>x</v>
      </c>
    </row>
    <row r="966" spans="1:19" ht="15.75" customHeight="1">
      <c r="A966" s="152" t="str">
        <f>IF(B966&lt;&gt;"",IF(AND(B966='IN-TC'!$S$4,OR(TH!N966="1111",TH!O966="1111")),TH!D966,""),"")</f>
        <v/>
      </c>
      <c r="B966" s="34">
        <f t="shared" si="32"/>
        <v>6</v>
      </c>
      <c r="C966" s="35">
        <f t="shared" si="33"/>
        <v>42545</v>
      </c>
      <c r="D966" s="212"/>
      <c r="E966" s="35">
        <v>42545</v>
      </c>
      <c r="F966" s="144" t="s">
        <v>1467</v>
      </c>
      <c r="G966" s="191"/>
      <c r="H966" s="198" t="s">
        <v>831</v>
      </c>
      <c r="I966" s="186">
        <v>1050</v>
      </c>
      <c r="J966" s="186">
        <v>12000</v>
      </c>
      <c r="K966" s="185"/>
      <c r="L966" s="186"/>
      <c r="M966" s="36">
        <f>ROUND(I966*J966,0)</f>
        <v>12600000</v>
      </c>
      <c r="N966" s="37" t="s">
        <v>1443</v>
      </c>
      <c r="O966" s="37" t="s">
        <v>8</v>
      </c>
      <c r="P966" s="47" t="str">
        <f>IF(AND('331-CT'!$F$5=TH!H966,OR(N966="331",O966="331")),"x","")</f>
        <v/>
      </c>
      <c r="Q966" s="47" t="str">
        <f>IF(AND(B966='111'!$L$11,OR($N966=$Q$7,$O966=$Q$7)),"x","")</f>
        <v/>
      </c>
      <c r="R966" s="47" t="str">
        <f>IF(AND($N966=$Q$7,$B966&lt;'111'!$L$11),"x","")</f>
        <v/>
      </c>
      <c r="S966" s="47" t="str">
        <f>IF(AND($O966=$Q$7,$B966&lt;'111'!$L$11),"x","")</f>
        <v/>
      </c>
    </row>
    <row r="967" spans="1:19" ht="15.75" customHeight="1">
      <c r="A967" s="152" t="str">
        <f>IF(B967&lt;&gt;"",IF(AND(B967='IN-TC'!$S$4,OR(TH!N967="1111",TH!O967="1111")),TH!D967,""),"")</f>
        <v/>
      </c>
      <c r="B967" s="34">
        <f t="shared" si="32"/>
        <v>6</v>
      </c>
      <c r="C967" s="35">
        <f t="shared" si="33"/>
        <v>42546</v>
      </c>
      <c r="D967" s="212"/>
      <c r="E967" s="35">
        <v>42546</v>
      </c>
      <c r="F967" s="144" t="s">
        <v>1466</v>
      </c>
      <c r="G967" s="191" t="s">
        <v>204</v>
      </c>
      <c r="H967" s="198" t="s">
        <v>832</v>
      </c>
      <c r="I967" s="186">
        <v>493</v>
      </c>
      <c r="J967" s="186">
        <v>15000</v>
      </c>
      <c r="K967" s="185"/>
      <c r="L967" s="186"/>
      <c r="M967" s="36">
        <f>ROUND(I967*J967,0)</f>
        <v>7395000</v>
      </c>
      <c r="N967" s="37" t="s">
        <v>1443</v>
      </c>
      <c r="O967" s="37" t="s">
        <v>8</v>
      </c>
      <c r="P967" s="47" t="str">
        <f>IF(AND('331-CT'!$F$5=TH!H967,OR(N967="331",O967="331")),"x","")</f>
        <v/>
      </c>
      <c r="Q967" s="47" t="str">
        <f>IF(AND(B967='111'!$L$11,OR($N967=$Q$7,$O967=$Q$7)),"x","")</f>
        <v/>
      </c>
      <c r="R967" s="47" t="str">
        <f>IF(AND($N967=$Q$7,$B967&lt;'111'!$L$11),"x","")</f>
        <v/>
      </c>
      <c r="S967" s="47" t="str">
        <f>IF(AND($O967=$Q$7,$B967&lt;'111'!$L$11),"x","")</f>
        <v/>
      </c>
    </row>
    <row r="968" spans="1:19" ht="15.75" customHeight="1">
      <c r="A968" s="152" t="str">
        <f>IF(B968&lt;&gt;"",IF(AND(B968='IN-TC'!$S$4,OR(TH!N968="1111",TH!O968="1111")),TH!D968,""),"")</f>
        <v/>
      </c>
      <c r="B968" s="34">
        <f t="shared" si="32"/>
        <v>6</v>
      </c>
      <c r="C968" s="35">
        <f t="shared" si="33"/>
        <v>42546</v>
      </c>
      <c r="D968" s="212"/>
      <c r="E968" s="35">
        <v>42546</v>
      </c>
      <c r="F968" s="144" t="s">
        <v>1483</v>
      </c>
      <c r="G968" s="191" t="s">
        <v>204</v>
      </c>
      <c r="H968" s="198" t="s">
        <v>832</v>
      </c>
      <c r="I968" s="186">
        <v>97</v>
      </c>
      <c r="J968" s="186">
        <v>12000</v>
      </c>
      <c r="K968" s="185"/>
      <c r="L968" s="186"/>
      <c r="M968" s="36">
        <f>ROUND(I968*J968,0)</f>
        <v>1164000</v>
      </c>
      <c r="N968" s="37" t="s">
        <v>1443</v>
      </c>
      <c r="O968" s="37" t="s">
        <v>8</v>
      </c>
      <c r="P968" s="47" t="str">
        <f>IF(AND('331-CT'!$F$5=TH!H968,OR(N968="331",O968="331")),"x","")</f>
        <v/>
      </c>
      <c r="Q968" s="47" t="str">
        <f>IF(AND(B968='111'!$L$11,OR($N968=$Q$7,$O968=$Q$7)),"x","")</f>
        <v/>
      </c>
      <c r="R968" s="47" t="str">
        <f>IF(AND($N968=$Q$7,$B968&lt;'111'!$L$11),"x","")</f>
        <v/>
      </c>
      <c r="S968" s="47" t="str">
        <f>IF(AND($O968=$Q$7,$B968&lt;'111'!$L$11),"x","")</f>
        <v/>
      </c>
    </row>
    <row r="969" spans="1:19" ht="15.75" customHeight="1">
      <c r="A969" s="152" t="str">
        <f>IF(B969&lt;&gt;"",IF(AND(B969='IN-TC'!$S$4,OR(TH!N969="1111",TH!O969="1111")),TH!D969,""),"")</f>
        <v/>
      </c>
      <c r="B969" s="34">
        <f t="shared" si="32"/>
        <v>6</v>
      </c>
      <c r="C969" s="35">
        <f t="shared" si="33"/>
        <v>42547</v>
      </c>
      <c r="D969" s="212" t="s">
        <v>984</v>
      </c>
      <c r="E969" s="35">
        <v>42547</v>
      </c>
      <c r="F969" s="144" t="s">
        <v>757</v>
      </c>
      <c r="G969" s="191" t="s">
        <v>202</v>
      </c>
      <c r="H969" s="198"/>
      <c r="I969" s="186"/>
      <c r="J969" s="186"/>
      <c r="K969" s="185"/>
      <c r="L969" s="186"/>
      <c r="M969" s="36">
        <v>180000</v>
      </c>
      <c r="N969" s="37"/>
      <c r="O969" s="37" t="s">
        <v>34</v>
      </c>
      <c r="P969" s="47" t="str">
        <f>IF(AND('331-CT'!$F$5=TH!H969,OR(N969="331",O969="331")),"x","")</f>
        <v/>
      </c>
      <c r="Q969" s="47" t="str">
        <f>IF(AND(B969='111'!$L$11,OR($N969=$Q$7,$O969=$Q$7)),"x","")</f>
        <v/>
      </c>
      <c r="R969" s="47" t="str">
        <f>IF(AND($N969=$Q$7,$B969&lt;'111'!$L$11),"x","")</f>
        <v/>
      </c>
      <c r="S969" s="47" t="str">
        <f>IF(AND($O969=$Q$7,$B969&lt;'111'!$L$11),"x","")</f>
        <v>x</v>
      </c>
    </row>
    <row r="970" spans="1:19" ht="15.75" customHeight="1">
      <c r="A970" s="152" t="str">
        <f>IF(B970&lt;&gt;"",IF(AND(B970='IN-TC'!$S$4,OR(TH!N970="1111",TH!O970="1111")),TH!D970,""),"")</f>
        <v/>
      </c>
      <c r="B970" s="34">
        <f t="shared" si="32"/>
        <v>6</v>
      </c>
      <c r="C970" s="35">
        <f t="shared" si="33"/>
        <v>42547</v>
      </c>
      <c r="D970" s="212" t="s">
        <v>985</v>
      </c>
      <c r="E970" s="35">
        <v>42547</v>
      </c>
      <c r="F970" s="144" t="s">
        <v>758</v>
      </c>
      <c r="G970" s="191" t="s">
        <v>111</v>
      </c>
      <c r="H970" s="198"/>
      <c r="I970" s="186"/>
      <c r="J970" s="186"/>
      <c r="K970" s="185"/>
      <c r="L970" s="186"/>
      <c r="M970" s="36">
        <v>2000000</v>
      </c>
      <c r="N970" s="37"/>
      <c r="O970" s="37" t="s">
        <v>34</v>
      </c>
      <c r="P970" s="47" t="str">
        <f>IF(AND('331-CT'!$F$5=TH!H970,OR(N970="331",O970="331")),"x","")</f>
        <v/>
      </c>
      <c r="Q970" s="47" t="str">
        <f>IF(AND(B970='111'!$L$11,OR($N970=$Q$7,$O970=$Q$7)),"x","")</f>
        <v/>
      </c>
      <c r="R970" s="47" t="str">
        <f>IF(AND($N970=$Q$7,$B970&lt;'111'!$L$11),"x","")</f>
        <v/>
      </c>
      <c r="S970" s="47" t="str">
        <f>IF(AND($O970=$Q$7,$B970&lt;'111'!$L$11),"x","")</f>
        <v>x</v>
      </c>
    </row>
    <row r="971" spans="1:19" ht="15.75" customHeight="1">
      <c r="A971" s="152" t="str">
        <f>IF(B971&lt;&gt;"",IF(AND(B971='IN-TC'!$S$4,OR(TH!N971="1111",TH!O971="1111")),TH!D971,""),"")</f>
        <v/>
      </c>
      <c r="B971" s="34">
        <f t="shared" si="32"/>
        <v>6</v>
      </c>
      <c r="C971" s="35">
        <f t="shared" si="33"/>
        <v>42547</v>
      </c>
      <c r="D971" s="212" t="s">
        <v>986</v>
      </c>
      <c r="E971" s="35">
        <v>42547</v>
      </c>
      <c r="F971" s="144" t="s">
        <v>759</v>
      </c>
      <c r="G971" s="191" t="s">
        <v>110</v>
      </c>
      <c r="H971" s="198"/>
      <c r="I971" s="186"/>
      <c r="J971" s="186"/>
      <c r="K971" s="185"/>
      <c r="L971" s="186"/>
      <c r="M971" s="36">
        <v>10000000</v>
      </c>
      <c r="N971" s="37"/>
      <c r="O971" s="37" t="s">
        <v>34</v>
      </c>
      <c r="P971" s="47" t="str">
        <f>IF(AND('331-CT'!$F$5=TH!H971,OR(N971="331",O971="331")),"x","")</f>
        <v/>
      </c>
      <c r="Q971" s="47" t="str">
        <f>IF(AND(B971='111'!$L$11,OR($N971=$Q$7,$O971=$Q$7)),"x","")</f>
        <v/>
      </c>
      <c r="R971" s="47" t="str">
        <f>IF(AND($N971=$Q$7,$B971&lt;'111'!$L$11),"x","")</f>
        <v/>
      </c>
      <c r="S971" s="47" t="str">
        <f>IF(AND($O971=$Q$7,$B971&lt;'111'!$L$11),"x","")</f>
        <v>x</v>
      </c>
    </row>
    <row r="972" spans="1:19" ht="15.75" customHeight="1">
      <c r="A972" s="152" t="str">
        <f>IF(B972&lt;&gt;"",IF(AND(B972='IN-TC'!$S$4,OR(TH!N972="1111",TH!O972="1111")),TH!D972,""),"")</f>
        <v/>
      </c>
      <c r="B972" s="34">
        <f t="shared" si="32"/>
        <v>6</v>
      </c>
      <c r="C972" s="35">
        <f t="shared" si="33"/>
        <v>42547</v>
      </c>
      <c r="D972" s="212" t="s">
        <v>987</v>
      </c>
      <c r="E972" s="35">
        <v>42547</v>
      </c>
      <c r="F972" s="144" t="s">
        <v>760</v>
      </c>
      <c r="G972" s="191" t="s">
        <v>230</v>
      </c>
      <c r="H972" s="198"/>
      <c r="I972" s="186"/>
      <c r="J972" s="186"/>
      <c r="K972" s="185"/>
      <c r="L972" s="186"/>
      <c r="M972" s="36">
        <v>500000</v>
      </c>
      <c r="N972" s="37"/>
      <c r="O972" s="37" t="s">
        <v>34</v>
      </c>
      <c r="P972" s="47" t="str">
        <f>IF(AND('331-CT'!$F$5=TH!H972,OR(N972="331",O972="331")),"x","")</f>
        <v/>
      </c>
      <c r="Q972" s="47" t="str">
        <f>IF(AND(B972='111'!$L$11,OR($N972=$Q$7,$O972=$Q$7)),"x","")</f>
        <v/>
      </c>
      <c r="R972" s="47" t="str">
        <f>IF(AND($N972=$Q$7,$B972&lt;'111'!$L$11),"x","")</f>
        <v/>
      </c>
      <c r="S972" s="47" t="str">
        <f>IF(AND($O972=$Q$7,$B972&lt;'111'!$L$11),"x","")</f>
        <v>x</v>
      </c>
    </row>
    <row r="973" spans="1:19" ht="15.75" customHeight="1">
      <c r="A973" s="152" t="str">
        <f>IF(B973&lt;&gt;"",IF(AND(B973='IN-TC'!$S$4,OR(TH!N973="1111",TH!O973="1111")),TH!D973,""),"")</f>
        <v/>
      </c>
      <c r="B973" s="34">
        <f t="shared" ref="B973:B1036" si="34">IF(C973&lt;&gt;"",MONTH(C973),"")</f>
        <v>6</v>
      </c>
      <c r="C973" s="35">
        <f t="shared" ref="C973:C1036" si="35">E973</f>
        <v>42548</v>
      </c>
      <c r="D973" s="212" t="s">
        <v>988</v>
      </c>
      <c r="E973" s="35">
        <v>42548</v>
      </c>
      <c r="F973" s="144" t="s">
        <v>761</v>
      </c>
      <c r="G973" s="191" t="s">
        <v>110</v>
      </c>
      <c r="H973" s="198"/>
      <c r="I973" s="186"/>
      <c r="J973" s="186"/>
      <c r="K973" s="185"/>
      <c r="L973" s="186"/>
      <c r="M973" s="36">
        <v>10000000</v>
      </c>
      <c r="N973" s="37"/>
      <c r="O973" s="37" t="s">
        <v>34</v>
      </c>
      <c r="P973" s="47" t="str">
        <f>IF(AND('331-CT'!$F$5=TH!H973,OR(N973="331",O973="331")),"x","")</f>
        <v/>
      </c>
      <c r="Q973" s="47" t="str">
        <f>IF(AND(B973='111'!$L$11,OR($N973=$Q$7,$O973=$Q$7)),"x","")</f>
        <v/>
      </c>
      <c r="R973" s="47" t="str">
        <f>IF(AND($N973=$Q$7,$B973&lt;'111'!$L$11),"x","")</f>
        <v/>
      </c>
      <c r="S973" s="47" t="str">
        <f>IF(AND($O973=$Q$7,$B973&lt;'111'!$L$11),"x","")</f>
        <v>x</v>
      </c>
    </row>
    <row r="974" spans="1:19" ht="15.75" customHeight="1">
      <c r="A974" s="152" t="str">
        <f>IF(B974&lt;&gt;"",IF(AND(B974='IN-TC'!$S$4,OR(TH!N974="1111",TH!O974="1111")),TH!D974,""),"")</f>
        <v/>
      </c>
      <c r="B974" s="34">
        <f t="shared" si="34"/>
        <v>6</v>
      </c>
      <c r="C974" s="35">
        <f t="shared" si="35"/>
        <v>42548</v>
      </c>
      <c r="D974" s="212" t="s">
        <v>989</v>
      </c>
      <c r="E974" s="35">
        <v>42548</v>
      </c>
      <c r="F974" s="144" t="s">
        <v>762</v>
      </c>
      <c r="G974" s="191" t="s">
        <v>205</v>
      </c>
      <c r="H974" s="198"/>
      <c r="I974" s="186"/>
      <c r="J974" s="186"/>
      <c r="K974" s="185"/>
      <c r="L974" s="186"/>
      <c r="M974" s="36">
        <v>3000000</v>
      </c>
      <c r="N974" s="37"/>
      <c r="O974" s="37" t="s">
        <v>34</v>
      </c>
      <c r="P974" s="47" t="str">
        <f>IF(AND('331-CT'!$F$5=TH!H974,OR(N974="331",O974="331")),"x","")</f>
        <v/>
      </c>
      <c r="Q974" s="47" t="str">
        <f>IF(AND(B974='111'!$L$11,OR($N974=$Q$7,$O974=$Q$7)),"x","")</f>
        <v/>
      </c>
      <c r="R974" s="47" t="str">
        <f>IF(AND($N974=$Q$7,$B974&lt;'111'!$L$11),"x","")</f>
        <v/>
      </c>
      <c r="S974" s="47" t="str">
        <f>IF(AND($O974=$Q$7,$B974&lt;'111'!$L$11),"x","")</f>
        <v>x</v>
      </c>
    </row>
    <row r="975" spans="1:19" ht="15.75" customHeight="1">
      <c r="A975" s="152" t="str">
        <f>IF(B975&lt;&gt;"",IF(AND(B975='IN-TC'!$S$4,OR(TH!N975="1111",TH!O975="1111")),TH!D975,""),"")</f>
        <v/>
      </c>
      <c r="B975" s="34">
        <f t="shared" si="34"/>
        <v>6</v>
      </c>
      <c r="C975" s="35">
        <f t="shared" si="35"/>
        <v>42548</v>
      </c>
      <c r="D975" s="212" t="s">
        <v>990</v>
      </c>
      <c r="E975" s="35">
        <v>42548</v>
      </c>
      <c r="F975" s="144" t="s">
        <v>763</v>
      </c>
      <c r="G975" s="191" t="s">
        <v>104</v>
      </c>
      <c r="H975" s="198"/>
      <c r="I975" s="186"/>
      <c r="J975" s="186"/>
      <c r="K975" s="185"/>
      <c r="L975" s="186"/>
      <c r="M975" s="36">
        <v>1170000000</v>
      </c>
      <c r="N975" s="37"/>
      <c r="O975" s="37" t="s">
        <v>34</v>
      </c>
      <c r="P975" s="47" t="str">
        <f>IF(AND('331-CT'!$F$5=TH!H975,OR(N975="331",O975="331")),"x","")</f>
        <v/>
      </c>
      <c r="Q975" s="47" t="str">
        <f>IF(AND(B975='111'!$L$11,OR($N975=$Q$7,$O975=$Q$7)),"x","")</f>
        <v/>
      </c>
      <c r="R975" s="47" t="str">
        <f>IF(AND($N975=$Q$7,$B975&lt;'111'!$L$11),"x","")</f>
        <v/>
      </c>
      <c r="S975" s="47" t="str">
        <f>IF(AND($O975=$Q$7,$B975&lt;'111'!$L$11),"x","")</f>
        <v>x</v>
      </c>
    </row>
    <row r="976" spans="1:19" ht="15.75" customHeight="1">
      <c r="A976" s="152" t="str">
        <f>IF(B976&lt;&gt;"",IF(AND(B976='IN-TC'!$S$4,OR(TH!N976="1111",TH!O976="1111")),TH!D976,""),"")</f>
        <v/>
      </c>
      <c r="B976" s="34">
        <f t="shared" si="34"/>
        <v>6</v>
      </c>
      <c r="C976" s="35">
        <f t="shared" si="35"/>
        <v>42548</v>
      </c>
      <c r="D976" s="212" t="s">
        <v>991</v>
      </c>
      <c r="E976" s="35">
        <v>42548</v>
      </c>
      <c r="F976" s="144" t="s">
        <v>636</v>
      </c>
      <c r="G976" s="191" t="s">
        <v>206</v>
      </c>
      <c r="H976" s="198" t="s">
        <v>840</v>
      </c>
      <c r="I976" s="186"/>
      <c r="J976" s="186"/>
      <c r="K976" s="185"/>
      <c r="L976" s="186"/>
      <c r="M976" s="36">
        <v>150000000</v>
      </c>
      <c r="N976" s="37" t="s">
        <v>8</v>
      </c>
      <c r="O976" s="37" t="s">
        <v>34</v>
      </c>
      <c r="P976" s="47" t="str">
        <f>IF(AND('331-CT'!$F$5=TH!H976,OR(N976="331",O976="331")),"x","")</f>
        <v/>
      </c>
      <c r="Q976" s="47" t="str">
        <f>IF(AND(B976='111'!$L$11,OR($N976=$Q$7,$O976=$Q$7)),"x","")</f>
        <v/>
      </c>
      <c r="R976" s="47" t="str">
        <f>IF(AND($N976=$Q$7,$B976&lt;'111'!$L$11),"x","")</f>
        <v/>
      </c>
      <c r="S976" s="47" t="str">
        <f>IF(AND($O976=$Q$7,$B976&lt;'111'!$L$11),"x","")</f>
        <v>x</v>
      </c>
    </row>
    <row r="977" spans="1:19" ht="15.75" customHeight="1">
      <c r="A977" s="152" t="str">
        <f>IF(B977&lt;&gt;"",IF(AND(B977='IN-TC'!$S$4,OR(TH!N977="1111",TH!O977="1111")),TH!D977,""),"")</f>
        <v/>
      </c>
      <c r="B977" s="34">
        <f t="shared" si="34"/>
        <v>6</v>
      </c>
      <c r="C977" s="35">
        <f t="shared" si="35"/>
        <v>42548</v>
      </c>
      <c r="D977" s="212" t="s">
        <v>992</v>
      </c>
      <c r="E977" s="35">
        <v>42548</v>
      </c>
      <c r="F977" s="144" t="s">
        <v>602</v>
      </c>
      <c r="G977" s="191" t="s">
        <v>206</v>
      </c>
      <c r="H977" s="198" t="s">
        <v>831</v>
      </c>
      <c r="I977" s="186"/>
      <c r="J977" s="186"/>
      <c r="K977" s="185"/>
      <c r="L977" s="186"/>
      <c r="M977" s="36">
        <v>100000000</v>
      </c>
      <c r="N977" s="37" t="s">
        <v>8</v>
      </c>
      <c r="O977" s="37" t="s">
        <v>34</v>
      </c>
      <c r="P977" s="47" t="str">
        <f>IF(AND('331-CT'!$F$5=TH!H977,OR(N977="331",O977="331")),"x","")</f>
        <v/>
      </c>
      <c r="Q977" s="47" t="str">
        <f>IF(AND(B977='111'!$L$11,OR($N977=$Q$7,$O977=$Q$7)),"x","")</f>
        <v/>
      </c>
      <c r="R977" s="47" t="str">
        <f>IF(AND($N977=$Q$7,$B977&lt;'111'!$L$11),"x","")</f>
        <v/>
      </c>
      <c r="S977" s="47" t="str">
        <f>IF(AND($O977=$Q$7,$B977&lt;'111'!$L$11),"x","")</f>
        <v>x</v>
      </c>
    </row>
    <row r="978" spans="1:19" ht="15.75" customHeight="1">
      <c r="A978" s="152" t="str">
        <f>IF(B978&lt;&gt;"",IF(AND(B978='IN-TC'!$S$4,OR(TH!N978="1111",TH!O978="1111")),TH!D978,""),"")</f>
        <v/>
      </c>
      <c r="B978" s="34">
        <f t="shared" si="34"/>
        <v>6</v>
      </c>
      <c r="C978" s="35">
        <f t="shared" si="35"/>
        <v>42549</v>
      </c>
      <c r="D978" s="212" t="s">
        <v>1399</v>
      </c>
      <c r="E978" s="35">
        <v>42549</v>
      </c>
      <c r="F978" s="144" t="s">
        <v>196</v>
      </c>
      <c r="G978" s="191" t="s">
        <v>110</v>
      </c>
      <c r="H978" s="198"/>
      <c r="I978" s="186"/>
      <c r="J978" s="186"/>
      <c r="K978" s="185"/>
      <c r="L978" s="186"/>
      <c r="M978" s="36">
        <v>1000000</v>
      </c>
      <c r="N978" s="37" t="s">
        <v>34</v>
      </c>
      <c r="O978" s="37"/>
      <c r="P978" s="47" t="str">
        <f>IF(AND('331-CT'!$F$5=TH!H978,OR(N978="331",O978="331")),"x","")</f>
        <v/>
      </c>
      <c r="Q978" s="47" t="str">
        <f>IF(AND(B978='111'!$L$11,OR($N978=$Q$7,$O978=$Q$7)),"x","")</f>
        <v/>
      </c>
      <c r="R978" s="47" t="str">
        <f>IF(AND($N978=$Q$7,$B978&lt;'111'!$L$11),"x","")</f>
        <v>x</v>
      </c>
      <c r="S978" s="47" t="str">
        <f>IF(AND($O978=$Q$7,$B978&lt;'111'!$L$11),"x","")</f>
        <v/>
      </c>
    </row>
    <row r="979" spans="1:19" ht="15.75" customHeight="1">
      <c r="A979" s="152" t="str">
        <f>IF(B979&lt;&gt;"",IF(AND(B979='IN-TC'!$S$4,OR(TH!N979="1111",TH!O979="1111")),TH!D979,""),"")</f>
        <v/>
      </c>
      <c r="B979" s="34">
        <f t="shared" si="34"/>
        <v>6</v>
      </c>
      <c r="C979" s="35">
        <f t="shared" si="35"/>
        <v>42549</v>
      </c>
      <c r="D979" s="212" t="s">
        <v>1400</v>
      </c>
      <c r="E979" s="35">
        <v>42549</v>
      </c>
      <c r="F979" s="144" t="s">
        <v>197</v>
      </c>
      <c r="G979" s="191" t="s">
        <v>110</v>
      </c>
      <c r="H979" s="198"/>
      <c r="I979" s="186"/>
      <c r="J979" s="186"/>
      <c r="K979" s="185"/>
      <c r="L979" s="186"/>
      <c r="M979" s="36">
        <v>20000000</v>
      </c>
      <c r="N979" s="37" t="s">
        <v>34</v>
      </c>
      <c r="O979" s="37"/>
      <c r="P979" s="47" t="str">
        <f>IF(AND('331-CT'!$F$5=TH!H979,OR(N979="331",O979="331")),"x","")</f>
        <v/>
      </c>
      <c r="Q979" s="47" t="str">
        <f>IF(AND(B979='111'!$L$11,OR($N979=$Q$7,$O979=$Q$7)),"x","")</f>
        <v/>
      </c>
      <c r="R979" s="47" t="str">
        <f>IF(AND($N979=$Q$7,$B979&lt;'111'!$L$11),"x","")</f>
        <v>x</v>
      </c>
      <c r="S979" s="47" t="str">
        <f>IF(AND($O979=$Q$7,$B979&lt;'111'!$L$11),"x","")</f>
        <v/>
      </c>
    </row>
    <row r="980" spans="1:19" ht="15.75" customHeight="1">
      <c r="A980" s="152" t="str">
        <f>IF(B980&lt;&gt;"",IF(AND(B980='IN-TC'!$S$4,OR(TH!N980="1111",TH!O980="1111")),TH!D980,""),"")</f>
        <v/>
      </c>
      <c r="B980" s="34">
        <f t="shared" si="34"/>
        <v>6</v>
      </c>
      <c r="C980" s="35">
        <f t="shared" si="35"/>
        <v>42549</v>
      </c>
      <c r="D980" s="212" t="s">
        <v>1401</v>
      </c>
      <c r="E980" s="35">
        <v>42549</v>
      </c>
      <c r="F980" s="144" t="s">
        <v>198</v>
      </c>
      <c r="G980" s="191" t="s">
        <v>117</v>
      </c>
      <c r="H980" s="198"/>
      <c r="I980" s="186"/>
      <c r="J980" s="186"/>
      <c r="K980" s="185"/>
      <c r="L980" s="186"/>
      <c r="M980" s="36">
        <v>5000000</v>
      </c>
      <c r="N980" s="37" t="s">
        <v>34</v>
      </c>
      <c r="O980" s="37"/>
      <c r="P980" s="47" t="str">
        <f>IF(AND('331-CT'!$F$5=TH!H980,OR(N980="331",O980="331")),"x","")</f>
        <v/>
      </c>
      <c r="Q980" s="47" t="str">
        <f>IF(AND(B980='111'!$L$11,OR($N980=$Q$7,$O980=$Q$7)),"x","")</f>
        <v/>
      </c>
      <c r="R980" s="47" t="str">
        <f>IF(AND($N980=$Q$7,$B980&lt;'111'!$L$11),"x","")</f>
        <v>x</v>
      </c>
      <c r="S980" s="47" t="str">
        <f>IF(AND($O980=$Q$7,$B980&lt;'111'!$L$11),"x","")</f>
        <v/>
      </c>
    </row>
    <row r="981" spans="1:19" ht="15.75" customHeight="1">
      <c r="A981" s="152" t="str">
        <f>IF(B981&lt;&gt;"",IF(AND(B981='IN-TC'!$S$4,OR(TH!N981="1111",TH!O981="1111")),TH!D981,""),"")</f>
        <v/>
      </c>
      <c r="B981" s="34">
        <f t="shared" si="34"/>
        <v>6</v>
      </c>
      <c r="C981" s="35">
        <f t="shared" si="35"/>
        <v>42549</v>
      </c>
      <c r="D981" s="212" t="s">
        <v>1402</v>
      </c>
      <c r="E981" s="35">
        <v>42549</v>
      </c>
      <c r="F981" s="144" t="s">
        <v>199</v>
      </c>
      <c r="G981" s="191" t="s">
        <v>110</v>
      </c>
      <c r="H981" s="198"/>
      <c r="I981" s="186"/>
      <c r="J981" s="186"/>
      <c r="K981" s="185"/>
      <c r="L981" s="186"/>
      <c r="M981" s="36">
        <v>5000000</v>
      </c>
      <c r="N981" s="37" t="s">
        <v>34</v>
      </c>
      <c r="O981" s="37"/>
      <c r="P981" s="47" t="str">
        <f>IF(AND('331-CT'!$F$5=TH!H981,OR(N981="331",O981="331")),"x","")</f>
        <v/>
      </c>
      <c r="Q981" s="47" t="str">
        <f>IF(AND(B981='111'!$L$11,OR($N981=$Q$7,$O981=$Q$7)),"x","")</f>
        <v/>
      </c>
      <c r="R981" s="47" t="str">
        <f>IF(AND($N981=$Q$7,$B981&lt;'111'!$L$11),"x","")</f>
        <v>x</v>
      </c>
      <c r="S981" s="47" t="str">
        <f>IF(AND($O981=$Q$7,$B981&lt;'111'!$L$11),"x","")</f>
        <v/>
      </c>
    </row>
    <row r="982" spans="1:19" ht="15.75" customHeight="1">
      <c r="A982" s="152" t="str">
        <f>IF(B982&lt;&gt;"",IF(AND(B982='IN-TC'!$S$4,OR(TH!N982="1111",TH!O982="1111")),TH!D982,""),"")</f>
        <v/>
      </c>
      <c r="B982" s="34">
        <f t="shared" si="34"/>
        <v>6</v>
      </c>
      <c r="C982" s="35">
        <f t="shared" si="35"/>
        <v>42549</v>
      </c>
      <c r="D982" s="212" t="s">
        <v>993</v>
      </c>
      <c r="E982" s="35">
        <v>42549</v>
      </c>
      <c r="F982" s="144" t="s">
        <v>764</v>
      </c>
      <c r="G982" s="191" t="s">
        <v>110</v>
      </c>
      <c r="H982" s="198"/>
      <c r="I982" s="186"/>
      <c r="J982" s="186"/>
      <c r="K982" s="185"/>
      <c r="L982" s="186"/>
      <c r="M982" s="36">
        <v>20000000</v>
      </c>
      <c r="N982" s="37"/>
      <c r="O982" s="37" t="s">
        <v>34</v>
      </c>
      <c r="P982" s="47" t="str">
        <f>IF(AND('331-CT'!$F$5=TH!H982,OR(N982="331",O982="331")),"x","")</f>
        <v/>
      </c>
      <c r="Q982" s="47" t="str">
        <f>IF(AND(B982='111'!$L$11,OR($N982=$Q$7,$O982=$Q$7)),"x","")</f>
        <v/>
      </c>
      <c r="R982" s="47" t="str">
        <f>IF(AND($N982=$Q$7,$B982&lt;'111'!$L$11),"x","")</f>
        <v/>
      </c>
      <c r="S982" s="47" t="str">
        <f>IF(AND($O982=$Q$7,$B982&lt;'111'!$L$11),"x","")</f>
        <v>x</v>
      </c>
    </row>
    <row r="983" spans="1:19" ht="15.75" customHeight="1">
      <c r="A983" s="152" t="str">
        <f>IF(B983&lt;&gt;"",IF(AND(B983='IN-TC'!$S$4,OR(TH!N983="1111",TH!O983="1111")),TH!D983,""),"")</f>
        <v/>
      </c>
      <c r="B983" s="34">
        <f t="shared" si="34"/>
        <v>6</v>
      </c>
      <c r="C983" s="35">
        <f t="shared" si="35"/>
        <v>42549</v>
      </c>
      <c r="D983" s="212" t="s">
        <v>994</v>
      </c>
      <c r="E983" s="35">
        <v>42549</v>
      </c>
      <c r="F983" s="144" t="s">
        <v>765</v>
      </c>
      <c r="G983" s="191" t="s">
        <v>230</v>
      </c>
      <c r="H983" s="198"/>
      <c r="I983" s="186"/>
      <c r="J983" s="186"/>
      <c r="K983" s="185"/>
      <c r="L983" s="186"/>
      <c r="M983" s="36">
        <v>4066000</v>
      </c>
      <c r="N983" s="37"/>
      <c r="O983" s="37" t="s">
        <v>34</v>
      </c>
      <c r="P983" s="47" t="str">
        <f>IF(AND('331-CT'!$F$5=TH!H983,OR(N983="331",O983="331")),"x","")</f>
        <v/>
      </c>
      <c r="Q983" s="47" t="str">
        <f>IF(AND(B983='111'!$L$11,OR($N983=$Q$7,$O983=$Q$7)),"x","")</f>
        <v/>
      </c>
      <c r="R983" s="47" t="str">
        <f>IF(AND($N983=$Q$7,$B983&lt;'111'!$L$11),"x","")</f>
        <v/>
      </c>
      <c r="S983" s="47" t="str">
        <f>IF(AND($O983=$Q$7,$B983&lt;'111'!$L$11),"x","")</f>
        <v>x</v>
      </c>
    </row>
    <row r="984" spans="1:19" ht="15.75" customHeight="1">
      <c r="A984" s="152" t="str">
        <f>IF(B984&lt;&gt;"",IF(AND(B984='IN-TC'!$S$4,OR(TH!N984="1111",TH!O984="1111")),TH!D984,""),"")</f>
        <v/>
      </c>
      <c r="B984" s="34">
        <f t="shared" si="34"/>
        <v>6</v>
      </c>
      <c r="C984" s="35">
        <f t="shared" si="35"/>
        <v>42549</v>
      </c>
      <c r="D984" s="212" t="s">
        <v>995</v>
      </c>
      <c r="E984" s="35">
        <v>42549</v>
      </c>
      <c r="F984" s="144" t="s">
        <v>766</v>
      </c>
      <c r="G984" s="191" t="s">
        <v>216</v>
      </c>
      <c r="H984" s="198"/>
      <c r="I984" s="186"/>
      <c r="J984" s="186"/>
      <c r="K984" s="185"/>
      <c r="L984" s="186"/>
      <c r="M984" s="36">
        <v>500000</v>
      </c>
      <c r="N984" s="37"/>
      <c r="O984" s="37" t="s">
        <v>34</v>
      </c>
      <c r="P984" s="47" t="str">
        <f>IF(AND('331-CT'!$F$5=TH!H984,OR(N984="331",O984="331")),"x","")</f>
        <v/>
      </c>
      <c r="Q984" s="47" t="str">
        <f>IF(AND(B984='111'!$L$11,OR($N984=$Q$7,$O984=$Q$7)),"x","")</f>
        <v/>
      </c>
      <c r="R984" s="47" t="str">
        <f>IF(AND($N984=$Q$7,$B984&lt;'111'!$L$11),"x","")</f>
        <v/>
      </c>
      <c r="S984" s="47" t="str">
        <f>IF(AND($O984=$Q$7,$B984&lt;'111'!$L$11),"x","")</f>
        <v>x</v>
      </c>
    </row>
    <row r="985" spans="1:19" ht="15.75" customHeight="1">
      <c r="A985" s="152" t="str">
        <f>IF(B985&lt;&gt;"",IF(AND(B985='IN-TC'!$S$4,OR(TH!N985="1111",TH!O985="1111")),TH!D985,""),"")</f>
        <v/>
      </c>
      <c r="B985" s="34">
        <f t="shared" si="34"/>
        <v>6</v>
      </c>
      <c r="C985" s="35">
        <f t="shared" si="35"/>
        <v>42549</v>
      </c>
      <c r="D985" s="212" t="s">
        <v>996</v>
      </c>
      <c r="E985" s="35">
        <v>42549</v>
      </c>
      <c r="F985" s="144" t="s">
        <v>767</v>
      </c>
      <c r="G985" s="191" t="s">
        <v>202</v>
      </c>
      <c r="H985" s="198"/>
      <c r="I985" s="186"/>
      <c r="J985" s="186"/>
      <c r="K985" s="185"/>
      <c r="L985" s="186"/>
      <c r="M985" s="36">
        <v>1615000</v>
      </c>
      <c r="N985" s="37"/>
      <c r="O985" s="37" t="s">
        <v>34</v>
      </c>
      <c r="P985" s="47" t="str">
        <f>IF(AND('331-CT'!$F$5=TH!H985,OR(N985="331",O985="331")),"x","")</f>
        <v/>
      </c>
      <c r="Q985" s="47" t="str">
        <f>IF(AND(B985='111'!$L$11,OR($N985=$Q$7,$O985=$Q$7)),"x","")</f>
        <v/>
      </c>
      <c r="R985" s="47" t="str">
        <f>IF(AND($N985=$Q$7,$B985&lt;'111'!$L$11),"x","")</f>
        <v/>
      </c>
      <c r="S985" s="47" t="str">
        <f>IF(AND($O985=$Q$7,$B985&lt;'111'!$L$11),"x","")</f>
        <v>x</v>
      </c>
    </row>
    <row r="986" spans="1:19" ht="15.75" customHeight="1">
      <c r="A986" s="152" t="str">
        <f>IF(B986&lt;&gt;"",IF(AND(B986='IN-TC'!$S$4,OR(TH!N986="1111",TH!O986="1111")),TH!D986,""),"")</f>
        <v/>
      </c>
      <c r="B986" s="34">
        <f t="shared" si="34"/>
        <v>6</v>
      </c>
      <c r="C986" s="35">
        <f t="shared" si="35"/>
        <v>42549</v>
      </c>
      <c r="D986" s="212" t="s">
        <v>997</v>
      </c>
      <c r="E986" s="35">
        <v>42549</v>
      </c>
      <c r="F986" s="144" t="s">
        <v>768</v>
      </c>
      <c r="G986" s="191" t="s">
        <v>202</v>
      </c>
      <c r="H986" s="198"/>
      <c r="I986" s="186"/>
      <c r="J986" s="186"/>
      <c r="K986" s="185"/>
      <c r="L986" s="186"/>
      <c r="M986" s="36">
        <v>500000</v>
      </c>
      <c r="N986" s="37"/>
      <c r="O986" s="37" t="s">
        <v>34</v>
      </c>
      <c r="P986" s="47" t="str">
        <f>IF(AND('331-CT'!$F$5=TH!H986,OR(N986="331",O986="331")),"x","")</f>
        <v/>
      </c>
      <c r="Q986" s="47" t="str">
        <f>IF(AND(B986='111'!$L$11,OR($N986=$Q$7,$O986=$Q$7)),"x","")</f>
        <v/>
      </c>
      <c r="R986" s="47" t="str">
        <f>IF(AND($N986=$Q$7,$B986&lt;'111'!$L$11),"x","")</f>
        <v/>
      </c>
      <c r="S986" s="47" t="str">
        <f>IF(AND($O986=$Q$7,$B986&lt;'111'!$L$11),"x","")</f>
        <v>x</v>
      </c>
    </row>
    <row r="987" spans="1:19" ht="15.75" customHeight="1">
      <c r="A987" s="152" t="str">
        <f>IF(B987&lt;&gt;"",IF(AND(B987='IN-TC'!$S$4,OR(TH!N987="1111",TH!O987="1111")),TH!D987,""),"")</f>
        <v/>
      </c>
      <c r="B987" s="34">
        <f t="shared" si="34"/>
        <v>6</v>
      </c>
      <c r="C987" s="35">
        <f t="shared" si="35"/>
        <v>42549</v>
      </c>
      <c r="D987" s="212" t="s">
        <v>998</v>
      </c>
      <c r="E987" s="35">
        <v>42549</v>
      </c>
      <c r="F987" s="144" t="s">
        <v>769</v>
      </c>
      <c r="G987" s="191" t="s">
        <v>202</v>
      </c>
      <c r="H987" s="198"/>
      <c r="I987" s="186"/>
      <c r="J987" s="186"/>
      <c r="K987" s="185"/>
      <c r="L987" s="186"/>
      <c r="M987" s="36">
        <v>26273000</v>
      </c>
      <c r="N987" s="37"/>
      <c r="O987" s="37" t="s">
        <v>34</v>
      </c>
      <c r="P987" s="47" t="str">
        <f>IF(AND('331-CT'!$F$5=TH!H987,OR(N987="331",O987="331")),"x","")</f>
        <v/>
      </c>
      <c r="Q987" s="47" t="str">
        <f>IF(AND(B987='111'!$L$11,OR($N987=$Q$7,$O987=$Q$7)),"x","")</f>
        <v/>
      </c>
      <c r="R987" s="47" t="str">
        <f>IF(AND($N987=$Q$7,$B987&lt;'111'!$L$11),"x","")</f>
        <v/>
      </c>
      <c r="S987" s="47" t="str">
        <f>IF(AND($O987=$Q$7,$B987&lt;'111'!$L$11),"x","")</f>
        <v>x</v>
      </c>
    </row>
    <row r="988" spans="1:19" ht="15.75" customHeight="1">
      <c r="A988" s="152" t="str">
        <f>IF(B988&lt;&gt;"",IF(AND(B988='IN-TC'!$S$4,OR(TH!N988="1111",TH!O988="1111")),TH!D988,""),"")</f>
        <v/>
      </c>
      <c r="B988" s="34">
        <f t="shared" si="34"/>
        <v>6</v>
      </c>
      <c r="C988" s="35">
        <f t="shared" si="35"/>
        <v>42549</v>
      </c>
      <c r="D988" s="212" t="s">
        <v>999</v>
      </c>
      <c r="E988" s="35">
        <v>42549</v>
      </c>
      <c r="F988" s="144" t="s">
        <v>268</v>
      </c>
      <c r="G988" s="191" t="s">
        <v>202</v>
      </c>
      <c r="H988" s="198"/>
      <c r="I988" s="186"/>
      <c r="J988" s="186"/>
      <c r="K988" s="185"/>
      <c r="L988" s="186"/>
      <c r="M988" s="36">
        <v>5814000</v>
      </c>
      <c r="N988" s="37"/>
      <c r="O988" s="37" t="s">
        <v>34</v>
      </c>
      <c r="P988" s="47" t="str">
        <f>IF(AND('331-CT'!$F$5=TH!H988,OR(N988="331",O988="331")),"x","")</f>
        <v/>
      </c>
      <c r="Q988" s="47" t="str">
        <f>IF(AND(B988='111'!$L$11,OR($N988=$Q$7,$O988=$Q$7)),"x","")</f>
        <v/>
      </c>
      <c r="R988" s="47" t="str">
        <f>IF(AND($N988=$Q$7,$B988&lt;'111'!$L$11),"x","")</f>
        <v/>
      </c>
      <c r="S988" s="47" t="str">
        <f>IF(AND($O988=$Q$7,$B988&lt;'111'!$L$11),"x","")</f>
        <v>x</v>
      </c>
    </row>
    <row r="989" spans="1:19" ht="15.75" customHeight="1">
      <c r="A989" s="152" t="str">
        <f>IF(B989&lt;&gt;"",IF(AND(B989='IN-TC'!$S$4,OR(TH!N989="1111",TH!O989="1111")),TH!D989,""),"")</f>
        <v/>
      </c>
      <c r="B989" s="34">
        <f t="shared" si="34"/>
        <v>6</v>
      </c>
      <c r="C989" s="35">
        <f t="shared" si="35"/>
        <v>42549</v>
      </c>
      <c r="D989" s="212" t="s">
        <v>1000</v>
      </c>
      <c r="E989" s="35">
        <v>42549</v>
      </c>
      <c r="F989" s="144" t="s">
        <v>770</v>
      </c>
      <c r="G989" s="191" t="s">
        <v>231</v>
      </c>
      <c r="H989" s="198"/>
      <c r="I989" s="186"/>
      <c r="J989" s="186"/>
      <c r="K989" s="185"/>
      <c r="L989" s="186"/>
      <c r="M989" s="36">
        <v>4921000</v>
      </c>
      <c r="N989" s="37"/>
      <c r="O989" s="37" t="s">
        <v>34</v>
      </c>
      <c r="P989" s="47" t="str">
        <f>IF(AND('331-CT'!$F$5=TH!H989,OR(N989="331",O989="331")),"x","")</f>
        <v/>
      </c>
      <c r="Q989" s="47" t="str">
        <f>IF(AND(B989='111'!$L$11,OR($N989=$Q$7,$O989=$Q$7)),"x","")</f>
        <v/>
      </c>
      <c r="R989" s="47" t="str">
        <f>IF(AND($N989=$Q$7,$B989&lt;'111'!$L$11),"x","")</f>
        <v/>
      </c>
      <c r="S989" s="47" t="str">
        <f>IF(AND($O989=$Q$7,$B989&lt;'111'!$L$11),"x","")</f>
        <v>x</v>
      </c>
    </row>
    <row r="990" spans="1:19" ht="15.75" customHeight="1">
      <c r="A990" s="152" t="str">
        <f>IF(B990&lt;&gt;"",IF(AND(B990='IN-TC'!$S$4,OR(TH!N990="1111",TH!O990="1111")),TH!D990,""),"")</f>
        <v/>
      </c>
      <c r="B990" s="34">
        <f t="shared" si="34"/>
        <v>6</v>
      </c>
      <c r="C990" s="35">
        <f t="shared" si="35"/>
        <v>42549</v>
      </c>
      <c r="D990" s="212" t="s">
        <v>1001</v>
      </c>
      <c r="E990" s="35">
        <v>42549</v>
      </c>
      <c r="F990" s="144" t="s">
        <v>771</v>
      </c>
      <c r="G990" s="191" t="s">
        <v>104</v>
      </c>
      <c r="H990" s="198"/>
      <c r="I990" s="186"/>
      <c r="J990" s="186"/>
      <c r="K990" s="185"/>
      <c r="L990" s="186"/>
      <c r="M990" s="36">
        <v>100000000</v>
      </c>
      <c r="N990" s="37"/>
      <c r="O990" s="37" t="s">
        <v>34</v>
      </c>
      <c r="P990" s="47" t="str">
        <f>IF(AND('331-CT'!$F$5=TH!H990,OR(N990="331",O990="331")),"x","")</f>
        <v/>
      </c>
      <c r="Q990" s="47" t="str">
        <f>IF(AND(B990='111'!$L$11,OR($N990=$Q$7,$O990=$Q$7)),"x","")</f>
        <v/>
      </c>
      <c r="R990" s="47" t="str">
        <f>IF(AND($N990=$Q$7,$B990&lt;'111'!$L$11),"x","")</f>
        <v/>
      </c>
      <c r="S990" s="47" t="str">
        <f>IF(AND($O990=$Q$7,$B990&lt;'111'!$L$11),"x","")</f>
        <v>x</v>
      </c>
    </row>
    <row r="991" spans="1:19" ht="15.75" customHeight="1">
      <c r="A991" s="152" t="str">
        <f>IF(B991&lt;&gt;"",IF(AND(B991='IN-TC'!$S$4,OR(TH!N991="1111",TH!O991="1111")),TH!D991,""),"")</f>
        <v/>
      </c>
      <c r="B991" s="34">
        <f t="shared" si="34"/>
        <v>6</v>
      </c>
      <c r="C991" s="35">
        <f t="shared" si="35"/>
        <v>42549</v>
      </c>
      <c r="D991" s="212" t="s">
        <v>1002</v>
      </c>
      <c r="E991" s="35">
        <v>42549</v>
      </c>
      <c r="F991" s="144" t="s">
        <v>530</v>
      </c>
      <c r="G991" s="191" t="s">
        <v>202</v>
      </c>
      <c r="H991" s="198"/>
      <c r="I991" s="186"/>
      <c r="J991" s="186"/>
      <c r="K991" s="185"/>
      <c r="L991" s="186"/>
      <c r="M991" s="36">
        <v>590000</v>
      </c>
      <c r="N991" s="37"/>
      <c r="O991" s="37" t="s">
        <v>34</v>
      </c>
      <c r="P991" s="47" t="str">
        <f>IF(AND('331-CT'!$F$5=TH!H991,OR(N991="331",O991="331")),"x","")</f>
        <v/>
      </c>
      <c r="Q991" s="47" t="str">
        <f>IF(AND(B991='111'!$L$11,OR($N991=$Q$7,$O991=$Q$7)),"x","")</f>
        <v/>
      </c>
      <c r="R991" s="47" t="str">
        <f>IF(AND($N991=$Q$7,$B991&lt;'111'!$L$11),"x","")</f>
        <v/>
      </c>
      <c r="S991" s="47" t="str">
        <f>IF(AND($O991=$Q$7,$B991&lt;'111'!$L$11),"x","")</f>
        <v>x</v>
      </c>
    </row>
    <row r="992" spans="1:19" ht="15.75" customHeight="1">
      <c r="A992" s="152" t="str">
        <f>IF(B992&lt;&gt;"",IF(AND(B992='IN-TC'!$S$4,OR(TH!N992="1111",TH!O992="1111")),TH!D992,""),"")</f>
        <v/>
      </c>
      <c r="B992" s="34">
        <f t="shared" si="34"/>
        <v>6</v>
      </c>
      <c r="C992" s="35">
        <f t="shared" si="35"/>
        <v>42549</v>
      </c>
      <c r="D992" s="212"/>
      <c r="E992" s="35">
        <v>42549</v>
      </c>
      <c r="F992" s="144" t="s">
        <v>1495</v>
      </c>
      <c r="G992" s="191" t="s">
        <v>204</v>
      </c>
      <c r="H992" s="198" t="s">
        <v>828</v>
      </c>
      <c r="I992" s="186">
        <v>74</v>
      </c>
      <c r="J992" s="186">
        <v>15000</v>
      </c>
      <c r="K992" s="185"/>
      <c r="L992" s="186"/>
      <c r="M992" s="36">
        <f>ROUND(I992*J992,-3)</f>
        <v>1110000</v>
      </c>
      <c r="N992" s="37" t="s">
        <v>1443</v>
      </c>
      <c r="O992" s="37" t="s">
        <v>8</v>
      </c>
      <c r="P992" s="47" t="str">
        <f>IF(AND('331-CT'!$F$5=TH!H992,OR(N992="331",O992="331")),"x","")</f>
        <v/>
      </c>
      <c r="Q992" s="47" t="str">
        <f>IF(AND(B992='111'!$L$11,OR($N992=$Q$7,$O992=$Q$7)),"x","")</f>
        <v/>
      </c>
      <c r="R992" s="47" t="str">
        <f>IF(AND($N992=$Q$7,$B992&lt;'111'!$L$11),"x","")</f>
        <v/>
      </c>
      <c r="S992" s="47" t="str">
        <f>IF(AND($O992=$Q$7,$B992&lt;'111'!$L$11),"x","")</f>
        <v/>
      </c>
    </row>
    <row r="993" spans="1:19" ht="15.75" customHeight="1">
      <c r="A993" s="152" t="str">
        <f>IF(B993&lt;&gt;"",IF(AND(B993='IN-TC'!$S$4,OR(TH!N993="1111",TH!O993="1111")),TH!D993,""),"")</f>
        <v/>
      </c>
      <c r="B993" s="34">
        <f t="shared" si="34"/>
        <v>6</v>
      </c>
      <c r="C993" s="35">
        <f t="shared" si="35"/>
        <v>42549</v>
      </c>
      <c r="D993" s="212"/>
      <c r="E993" s="35">
        <v>42549</v>
      </c>
      <c r="F993" s="144" t="s">
        <v>1493</v>
      </c>
      <c r="G993" s="191" t="s">
        <v>204</v>
      </c>
      <c r="H993" s="198" t="s">
        <v>828</v>
      </c>
      <c r="I993" s="186">
        <v>370</v>
      </c>
      <c r="J993" s="186">
        <v>27000</v>
      </c>
      <c r="K993" s="185"/>
      <c r="L993" s="186"/>
      <c r="M993" s="36">
        <f>ROUND(I993*J993,-3)</f>
        <v>9990000</v>
      </c>
      <c r="N993" s="37" t="s">
        <v>1443</v>
      </c>
      <c r="O993" s="37" t="s">
        <v>8</v>
      </c>
      <c r="P993" s="47" t="str">
        <f>IF(AND('331-CT'!$F$5=TH!H993,OR(N993="331",O993="331")),"x","")</f>
        <v/>
      </c>
      <c r="Q993" s="47" t="str">
        <f>IF(AND(B993='111'!$L$11,OR($N993=$Q$7,$O993=$Q$7)),"x","")</f>
        <v/>
      </c>
      <c r="R993" s="47" t="str">
        <f>IF(AND($N993=$Q$7,$B993&lt;'111'!$L$11),"x","")</f>
        <v/>
      </c>
      <c r="S993" s="47" t="str">
        <f>IF(AND($O993=$Q$7,$B993&lt;'111'!$L$11),"x","")</f>
        <v/>
      </c>
    </row>
    <row r="994" spans="1:19" ht="15.75" customHeight="1">
      <c r="A994" s="152" t="str">
        <f>IF(B994&lt;&gt;"",IF(AND(B994='IN-TC'!$S$4,OR(TH!N994="1111",TH!O994="1111")),TH!D994,""),"")</f>
        <v/>
      </c>
      <c r="B994" s="34">
        <f t="shared" si="34"/>
        <v>6</v>
      </c>
      <c r="C994" s="35">
        <f t="shared" si="35"/>
        <v>42549</v>
      </c>
      <c r="D994" s="212"/>
      <c r="E994" s="35">
        <v>42549</v>
      </c>
      <c r="F994" s="144" t="s">
        <v>1494</v>
      </c>
      <c r="G994" s="191" t="s">
        <v>204</v>
      </c>
      <c r="H994" s="198" t="s">
        <v>828</v>
      </c>
      <c r="I994" s="186">
        <v>586</v>
      </c>
      <c r="J994" s="186">
        <v>22000</v>
      </c>
      <c r="K994" s="185"/>
      <c r="L994" s="186"/>
      <c r="M994" s="36">
        <f>ROUND(I994*J994,-3)</f>
        <v>12892000</v>
      </c>
      <c r="N994" s="37" t="s">
        <v>1443</v>
      </c>
      <c r="O994" s="37" t="s">
        <v>8</v>
      </c>
      <c r="P994" s="47" t="str">
        <f>IF(AND('331-CT'!$F$5=TH!H994,OR(N994="331",O994="331")),"x","")</f>
        <v/>
      </c>
      <c r="Q994" s="47" t="str">
        <f>IF(AND(B994='111'!$L$11,OR($N994=$Q$7,$O994=$Q$7)),"x","")</f>
        <v/>
      </c>
      <c r="R994" s="47" t="str">
        <f>IF(AND($N994=$Q$7,$B994&lt;'111'!$L$11),"x","")</f>
        <v/>
      </c>
      <c r="S994" s="47" t="str">
        <f>IF(AND($O994=$Q$7,$B994&lt;'111'!$L$11),"x","")</f>
        <v/>
      </c>
    </row>
    <row r="995" spans="1:19" ht="15.75" customHeight="1">
      <c r="A995" s="152" t="str">
        <f>IF(B995&lt;&gt;"",IF(AND(B995='IN-TC'!$S$4,OR(TH!N995="1111",TH!O995="1111")),TH!D995,""),"")</f>
        <v/>
      </c>
      <c r="B995" s="34">
        <f t="shared" si="34"/>
        <v>6</v>
      </c>
      <c r="C995" s="35">
        <f t="shared" si="35"/>
        <v>42549</v>
      </c>
      <c r="D995" s="212"/>
      <c r="E995" s="35">
        <v>42549</v>
      </c>
      <c r="F995" s="144" t="s">
        <v>1496</v>
      </c>
      <c r="G995" s="191" t="s">
        <v>204</v>
      </c>
      <c r="H995" s="198" t="s">
        <v>828</v>
      </c>
      <c r="I995" s="186">
        <v>1244</v>
      </c>
      <c r="J995" s="186">
        <v>7200</v>
      </c>
      <c r="K995" s="185"/>
      <c r="L995" s="186"/>
      <c r="M995" s="36">
        <f>ROUND(I995*J995,-3)</f>
        <v>8957000</v>
      </c>
      <c r="N995" s="37" t="s">
        <v>1443</v>
      </c>
      <c r="O995" s="37" t="s">
        <v>8</v>
      </c>
      <c r="P995" s="47" t="str">
        <f>IF(AND('331-CT'!$F$5=TH!H995,OR(N995="331",O995="331")),"x","")</f>
        <v/>
      </c>
      <c r="Q995" s="47" t="str">
        <f>IF(AND(B995='111'!$L$11,OR($N995=$Q$7,$O995=$Q$7)),"x","")</f>
        <v/>
      </c>
      <c r="R995" s="47" t="str">
        <f>IF(AND($N995=$Q$7,$B995&lt;'111'!$L$11),"x","")</f>
        <v/>
      </c>
      <c r="S995" s="47" t="str">
        <f>IF(AND($O995=$Q$7,$B995&lt;'111'!$L$11),"x","")</f>
        <v/>
      </c>
    </row>
    <row r="996" spans="1:19" ht="15.75" customHeight="1">
      <c r="A996" s="152" t="str">
        <f>IF(B996&lt;&gt;"",IF(AND(B996='IN-TC'!$S$4,OR(TH!N996="1111",TH!O996="1111")),TH!D996,""),"")</f>
        <v/>
      </c>
      <c r="B996" s="34">
        <f t="shared" si="34"/>
        <v>6</v>
      </c>
      <c r="C996" s="35">
        <f t="shared" si="35"/>
        <v>42550</v>
      </c>
      <c r="D996" s="212" t="s">
        <v>1003</v>
      </c>
      <c r="E996" s="35">
        <v>42550</v>
      </c>
      <c r="F996" s="144" t="s">
        <v>561</v>
      </c>
      <c r="G996" s="191" t="s">
        <v>202</v>
      </c>
      <c r="H996" s="198"/>
      <c r="I996" s="186"/>
      <c r="J996" s="186"/>
      <c r="K996" s="185"/>
      <c r="L996" s="186"/>
      <c r="M996" s="36">
        <v>51000</v>
      </c>
      <c r="N996" s="37"/>
      <c r="O996" s="37" t="s">
        <v>34</v>
      </c>
      <c r="P996" s="47" t="str">
        <f>IF(AND('331-CT'!$F$5=TH!H996,OR(N996="331",O996="331")),"x","")</f>
        <v/>
      </c>
      <c r="Q996" s="47" t="str">
        <f>IF(AND(B996='111'!$L$11,OR($N996=$Q$7,$O996=$Q$7)),"x","")</f>
        <v/>
      </c>
      <c r="R996" s="47" t="str">
        <f>IF(AND($N996=$Q$7,$B996&lt;'111'!$L$11),"x","")</f>
        <v/>
      </c>
      <c r="S996" s="47" t="str">
        <f>IF(AND($O996=$Q$7,$B996&lt;'111'!$L$11),"x","")</f>
        <v>x</v>
      </c>
    </row>
    <row r="997" spans="1:19" ht="15.75" customHeight="1">
      <c r="A997" s="152" t="str">
        <f>IF(B997&lt;&gt;"",IF(AND(B997='IN-TC'!$S$4,OR(TH!N997="1111",TH!O997="1111")),TH!D997,""),"")</f>
        <v/>
      </c>
      <c r="B997" s="34">
        <f t="shared" si="34"/>
        <v>6</v>
      </c>
      <c r="C997" s="35">
        <f t="shared" si="35"/>
        <v>42550</v>
      </c>
      <c r="D997" s="212" t="s">
        <v>1004</v>
      </c>
      <c r="E997" s="35">
        <v>42550</v>
      </c>
      <c r="F997" s="144" t="s">
        <v>529</v>
      </c>
      <c r="G997" s="191" t="s">
        <v>206</v>
      </c>
      <c r="H997" s="198" t="s">
        <v>832</v>
      </c>
      <c r="I997" s="186"/>
      <c r="J997" s="186"/>
      <c r="K997" s="185"/>
      <c r="L997" s="186"/>
      <c r="M997" s="36">
        <v>70000000</v>
      </c>
      <c r="N997" s="37" t="s">
        <v>8</v>
      </c>
      <c r="O997" s="37" t="s">
        <v>34</v>
      </c>
      <c r="P997" s="47" t="str">
        <f>IF(AND('331-CT'!$F$5=TH!H997,OR(N997="331",O997="331")),"x","")</f>
        <v/>
      </c>
      <c r="Q997" s="47" t="str">
        <f>IF(AND(B997='111'!$L$11,OR($N997=$Q$7,$O997=$Q$7)),"x","")</f>
        <v/>
      </c>
      <c r="R997" s="47" t="str">
        <f>IF(AND($N997=$Q$7,$B997&lt;'111'!$L$11),"x","")</f>
        <v/>
      </c>
      <c r="S997" s="47" t="str">
        <f>IF(AND($O997=$Q$7,$B997&lt;'111'!$L$11),"x","")</f>
        <v>x</v>
      </c>
    </row>
    <row r="998" spans="1:19" ht="15.75" customHeight="1">
      <c r="A998" s="152" t="str">
        <f>IF(B998&lt;&gt;"",IF(AND(B998='IN-TC'!$S$4,OR(TH!N998="1111",TH!O998="1111")),TH!D998,""),"")</f>
        <v/>
      </c>
      <c r="B998" s="34">
        <f t="shared" si="34"/>
        <v>6</v>
      </c>
      <c r="C998" s="35">
        <f t="shared" si="35"/>
        <v>42550</v>
      </c>
      <c r="D998" s="212" t="s">
        <v>1004</v>
      </c>
      <c r="E998" s="35">
        <v>42550</v>
      </c>
      <c r="F998" s="144" t="s">
        <v>1424</v>
      </c>
      <c r="G998" s="191"/>
      <c r="H998" s="198"/>
      <c r="I998" s="186"/>
      <c r="J998" s="186"/>
      <c r="K998" s="185"/>
      <c r="L998" s="186"/>
      <c r="M998" s="36">
        <v>35000</v>
      </c>
      <c r="N998" s="37" t="s">
        <v>1425</v>
      </c>
      <c r="O998" s="37" t="s">
        <v>34</v>
      </c>
      <c r="P998" s="47" t="str">
        <f>IF(AND('331-CT'!$F$5=TH!H998,OR(N998="331",O998="331")),"x","")</f>
        <v/>
      </c>
      <c r="Q998" s="47" t="str">
        <f>IF(AND(B998='111'!$L$11,OR($N998=$Q$7,$O998=$Q$7)),"x","")</f>
        <v/>
      </c>
      <c r="R998" s="47" t="str">
        <f>IF(AND($N998=$Q$7,$B998&lt;'111'!$L$11),"x","")</f>
        <v/>
      </c>
      <c r="S998" s="47" t="str">
        <f>IF(AND($O998=$Q$7,$B998&lt;'111'!$L$11),"x","")</f>
        <v>x</v>
      </c>
    </row>
    <row r="999" spans="1:19" ht="15.75" customHeight="1">
      <c r="A999" s="152" t="str">
        <f>IF(B999&lt;&gt;"",IF(AND(B999='IN-TC'!$S$4,OR(TH!N999="1111",TH!O999="1111")),TH!D999,""),"")</f>
        <v/>
      </c>
      <c r="B999" s="34">
        <f t="shared" si="34"/>
        <v>6</v>
      </c>
      <c r="C999" s="35">
        <f t="shared" si="35"/>
        <v>42550</v>
      </c>
      <c r="D999" s="212" t="s">
        <v>1005</v>
      </c>
      <c r="E999" s="35">
        <v>42550</v>
      </c>
      <c r="F999" s="144" t="s">
        <v>772</v>
      </c>
      <c r="G999" s="191" t="s">
        <v>206</v>
      </c>
      <c r="H999" s="198" t="s">
        <v>845</v>
      </c>
      <c r="I999" s="186"/>
      <c r="J999" s="186"/>
      <c r="K999" s="185"/>
      <c r="L999" s="186"/>
      <c r="M999" s="36">
        <v>7622000</v>
      </c>
      <c r="N999" s="37" t="s">
        <v>8</v>
      </c>
      <c r="O999" s="37" t="s">
        <v>34</v>
      </c>
      <c r="P999" s="47" t="str">
        <f>IF(AND('331-CT'!$F$5=TH!H999,OR(N999="331",O999="331")),"x","")</f>
        <v/>
      </c>
      <c r="Q999" s="47" t="str">
        <f>IF(AND(B999='111'!$L$11,OR($N999=$Q$7,$O999=$Q$7)),"x","")</f>
        <v/>
      </c>
      <c r="R999" s="47" t="str">
        <f>IF(AND($N999=$Q$7,$B999&lt;'111'!$L$11),"x","")</f>
        <v/>
      </c>
      <c r="S999" s="47" t="str">
        <f>IF(AND($O999=$Q$7,$B999&lt;'111'!$L$11),"x","")</f>
        <v>x</v>
      </c>
    </row>
    <row r="1000" spans="1:19" ht="15.75" customHeight="1">
      <c r="A1000" s="152" t="str">
        <f>IF(B1000&lt;&gt;"",IF(AND(B1000='IN-TC'!$S$4,OR(TH!N1000="1111",TH!O1000="1111")),TH!D1000,""),"")</f>
        <v/>
      </c>
      <c r="B1000" s="34">
        <f t="shared" si="34"/>
        <v>6</v>
      </c>
      <c r="C1000" s="35">
        <f t="shared" si="35"/>
        <v>42550</v>
      </c>
      <c r="D1000" s="212" t="s">
        <v>1006</v>
      </c>
      <c r="E1000" s="35">
        <v>42550</v>
      </c>
      <c r="F1000" s="144" t="s">
        <v>773</v>
      </c>
      <c r="G1000" s="191" t="s">
        <v>203</v>
      </c>
      <c r="H1000" s="198" t="s">
        <v>1416</v>
      </c>
      <c r="I1000" s="186"/>
      <c r="J1000" s="186"/>
      <c r="K1000" s="185"/>
      <c r="L1000" s="186"/>
      <c r="M1000" s="36">
        <v>6011000</v>
      </c>
      <c r="N1000" s="37" t="s">
        <v>814</v>
      </c>
      <c r="O1000" s="37" t="s">
        <v>34</v>
      </c>
      <c r="P1000" s="47" t="str">
        <f>IF(AND('331-CT'!$F$5=TH!H1000,OR(N1000="331",O1000="331")),"x","")</f>
        <v/>
      </c>
      <c r="Q1000" s="47" t="str">
        <f>IF(AND(B1000='111'!$L$11,OR($N1000=$Q$7,$O1000=$Q$7)),"x","")</f>
        <v/>
      </c>
      <c r="R1000" s="47" t="str">
        <f>IF(AND($N1000=$Q$7,$B1000&lt;'111'!$L$11),"x","")</f>
        <v/>
      </c>
      <c r="S1000" s="47" t="str">
        <f>IF(AND($O1000=$Q$7,$B1000&lt;'111'!$L$11),"x","")</f>
        <v>x</v>
      </c>
    </row>
    <row r="1001" spans="1:19" ht="15.75" customHeight="1">
      <c r="A1001" s="152" t="str">
        <f>IF(B1001&lt;&gt;"",IF(AND(B1001='IN-TC'!$S$4,OR(TH!N1001="1111",TH!O1001="1111")),TH!D1001,""),"")</f>
        <v/>
      </c>
      <c r="B1001" s="34">
        <f t="shared" si="34"/>
        <v>6</v>
      </c>
      <c r="C1001" s="35">
        <f t="shared" si="35"/>
        <v>42550</v>
      </c>
      <c r="D1001" s="212" t="s">
        <v>1007</v>
      </c>
      <c r="E1001" s="35">
        <v>42550</v>
      </c>
      <c r="F1001" s="144" t="s">
        <v>774</v>
      </c>
      <c r="G1001" s="191" t="s">
        <v>202</v>
      </c>
      <c r="H1001" s="198"/>
      <c r="I1001" s="186"/>
      <c r="J1001" s="186"/>
      <c r="K1001" s="185"/>
      <c r="L1001" s="186"/>
      <c r="M1001" s="36">
        <v>20011000</v>
      </c>
      <c r="N1001" s="37"/>
      <c r="O1001" s="37" t="s">
        <v>34</v>
      </c>
      <c r="P1001" s="47" t="str">
        <f>IF(AND('331-CT'!$F$5=TH!H1001,OR(N1001="331",O1001="331")),"x","")</f>
        <v/>
      </c>
      <c r="Q1001" s="47" t="str">
        <f>IF(AND(B1001='111'!$L$11,OR($N1001=$Q$7,$O1001=$Q$7)),"x","")</f>
        <v/>
      </c>
      <c r="R1001" s="47" t="str">
        <f>IF(AND($N1001=$Q$7,$B1001&lt;'111'!$L$11),"x","")</f>
        <v/>
      </c>
      <c r="S1001" s="47" t="str">
        <f>IF(AND($O1001=$Q$7,$B1001&lt;'111'!$L$11),"x","")</f>
        <v>x</v>
      </c>
    </row>
    <row r="1002" spans="1:19" ht="15.75" customHeight="1">
      <c r="A1002" s="152" t="str">
        <f>IF(B1002&lt;&gt;"",IF(AND(B1002='IN-TC'!$S$4,OR(TH!N1002="1111",TH!O1002="1111")),TH!D1002,""),"")</f>
        <v/>
      </c>
      <c r="B1002" s="34">
        <f t="shared" si="34"/>
        <v>6</v>
      </c>
      <c r="C1002" s="35">
        <f t="shared" si="35"/>
        <v>42550</v>
      </c>
      <c r="D1002" s="212" t="s">
        <v>1008</v>
      </c>
      <c r="E1002" s="35">
        <v>42550</v>
      </c>
      <c r="F1002" s="144" t="s">
        <v>775</v>
      </c>
      <c r="G1002" s="191" t="s">
        <v>205</v>
      </c>
      <c r="H1002" s="198"/>
      <c r="I1002" s="186"/>
      <c r="J1002" s="186"/>
      <c r="K1002" s="185"/>
      <c r="L1002" s="186"/>
      <c r="M1002" s="36">
        <v>195000</v>
      </c>
      <c r="N1002" s="37"/>
      <c r="O1002" s="37" t="s">
        <v>34</v>
      </c>
      <c r="P1002" s="47" t="str">
        <f>IF(AND('331-CT'!$F$5=TH!H1002,OR(N1002="331",O1002="331")),"x","")</f>
        <v/>
      </c>
      <c r="Q1002" s="47" t="str">
        <f>IF(AND(B1002='111'!$L$11,OR($N1002=$Q$7,$O1002=$Q$7)),"x","")</f>
        <v/>
      </c>
      <c r="R1002" s="47" t="str">
        <f>IF(AND($N1002=$Q$7,$B1002&lt;'111'!$L$11),"x","")</f>
        <v/>
      </c>
      <c r="S1002" s="47" t="str">
        <f>IF(AND($O1002=$Q$7,$B1002&lt;'111'!$L$11),"x","")</f>
        <v>x</v>
      </c>
    </row>
    <row r="1003" spans="1:19" ht="15.75" customHeight="1">
      <c r="A1003" s="152" t="str">
        <f>IF(B1003&lt;&gt;"",IF(AND(B1003='IN-TC'!$S$4,OR(TH!N1003="1111",TH!O1003="1111")),TH!D1003,""),"")</f>
        <v/>
      </c>
      <c r="B1003" s="34">
        <f t="shared" si="34"/>
        <v>6</v>
      </c>
      <c r="C1003" s="35">
        <f t="shared" si="35"/>
        <v>42551</v>
      </c>
      <c r="D1003" s="212" t="s">
        <v>1009</v>
      </c>
      <c r="E1003" s="35">
        <v>42551</v>
      </c>
      <c r="F1003" s="144" t="s">
        <v>776</v>
      </c>
      <c r="G1003" s="191" t="s">
        <v>104</v>
      </c>
      <c r="H1003" s="198"/>
      <c r="I1003" s="186"/>
      <c r="J1003" s="186"/>
      <c r="K1003" s="185"/>
      <c r="L1003" s="186"/>
      <c r="M1003" s="36">
        <v>1000000000</v>
      </c>
      <c r="N1003" s="37"/>
      <c r="O1003" s="37" t="s">
        <v>34</v>
      </c>
      <c r="P1003" s="47" t="str">
        <f>IF(AND('331-CT'!$F$5=TH!H1003,OR(N1003="331",O1003="331")),"x","")</f>
        <v/>
      </c>
      <c r="Q1003" s="47" t="str">
        <f>IF(AND(B1003='111'!$L$11,OR($N1003=$Q$7,$O1003=$Q$7)),"x","")</f>
        <v/>
      </c>
      <c r="R1003" s="47" t="str">
        <f>IF(AND($N1003=$Q$7,$B1003&lt;'111'!$L$11),"x","")</f>
        <v/>
      </c>
      <c r="S1003" s="47" t="str">
        <f>IF(AND($O1003=$Q$7,$B1003&lt;'111'!$L$11),"x","")</f>
        <v>x</v>
      </c>
    </row>
    <row r="1004" spans="1:19" ht="15.75" customHeight="1">
      <c r="A1004" s="152" t="str">
        <f>IF(B1004&lt;&gt;"",IF(AND(B1004='IN-TC'!$S$4,OR(TH!N1004="1111",TH!O1004="1111")),TH!D1004,""),"")</f>
        <v/>
      </c>
      <c r="B1004" s="34">
        <f t="shared" si="34"/>
        <v>6</v>
      </c>
      <c r="C1004" s="35">
        <f t="shared" si="35"/>
        <v>42551</v>
      </c>
      <c r="D1004" s="212" t="s">
        <v>1010</v>
      </c>
      <c r="E1004" s="35">
        <v>42551</v>
      </c>
      <c r="F1004" s="144" t="s">
        <v>777</v>
      </c>
      <c r="G1004" s="191" t="s">
        <v>104</v>
      </c>
      <c r="H1004" s="198"/>
      <c r="I1004" s="186"/>
      <c r="J1004" s="186"/>
      <c r="K1004" s="185"/>
      <c r="L1004" s="186"/>
      <c r="M1004" s="36">
        <v>55000000</v>
      </c>
      <c r="N1004" s="37"/>
      <c r="O1004" s="37" t="s">
        <v>34</v>
      </c>
      <c r="P1004" s="47" t="str">
        <f>IF(AND('331-CT'!$F$5=TH!H1004,OR(N1004="331",O1004="331")),"x","")</f>
        <v/>
      </c>
      <c r="Q1004" s="47" t="str">
        <f>IF(AND(B1004='111'!$L$11,OR($N1004=$Q$7,$O1004=$Q$7)),"x","")</f>
        <v/>
      </c>
      <c r="R1004" s="47" t="str">
        <f>IF(AND($N1004=$Q$7,$B1004&lt;'111'!$L$11),"x","")</f>
        <v/>
      </c>
      <c r="S1004" s="47" t="str">
        <f>IF(AND($O1004=$Q$7,$B1004&lt;'111'!$L$11),"x","")</f>
        <v>x</v>
      </c>
    </row>
    <row r="1005" spans="1:19" ht="15.75" customHeight="1">
      <c r="A1005" s="152" t="str">
        <f>IF(B1005&lt;&gt;"",IF(AND(B1005='IN-TC'!$S$4,OR(TH!N1005="1111",TH!O1005="1111")),TH!D1005,""),"")</f>
        <v/>
      </c>
      <c r="B1005" s="34">
        <f t="shared" si="34"/>
        <v>6</v>
      </c>
      <c r="C1005" s="35">
        <f t="shared" si="35"/>
        <v>42551</v>
      </c>
      <c r="D1005" s="212" t="s">
        <v>1011</v>
      </c>
      <c r="E1005" s="35">
        <v>42551</v>
      </c>
      <c r="F1005" s="144" t="s">
        <v>778</v>
      </c>
      <c r="G1005" s="191" t="s">
        <v>202</v>
      </c>
      <c r="H1005" s="198"/>
      <c r="I1005" s="186"/>
      <c r="J1005" s="186"/>
      <c r="K1005" s="185"/>
      <c r="L1005" s="186"/>
      <c r="M1005" s="36">
        <v>10000000</v>
      </c>
      <c r="N1005" s="37"/>
      <c r="O1005" s="37" t="s">
        <v>34</v>
      </c>
      <c r="P1005" s="47" t="str">
        <f>IF(AND('331-CT'!$F$5=TH!H1005,OR(N1005="331",O1005="331")),"x","")</f>
        <v/>
      </c>
      <c r="Q1005" s="47" t="str">
        <f>IF(AND(B1005='111'!$L$11,OR($N1005=$Q$7,$O1005=$Q$7)),"x","")</f>
        <v/>
      </c>
      <c r="R1005" s="47" t="str">
        <f>IF(AND($N1005=$Q$7,$B1005&lt;'111'!$L$11),"x","")</f>
        <v/>
      </c>
      <c r="S1005" s="47" t="str">
        <f>IF(AND($O1005=$Q$7,$B1005&lt;'111'!$L$11),"x","")</f>
        <v>x</v>
      </c>
    </row>
    <row r="1006" spans="1:19" ht="15.75" customHeight="1">
      <c r="A1006" s="152" t="str">
        <f>IF(B1006&lt;&gt;"",IF(AND(B1006='IN-TC'!$S$4,OR(TH!N1006="1111",TH!O1006="1111")),TH!D1006,""),"")</f>
        <v/>
      </c>
      <c r="B1006" s="34">
        <f t="shared" si="34"/>
        <v>7</v>
      </c>
      <c r="C1006" s="35">
        <f t="shared" si="35"/>
        <v>42552</v>
      </c>
      <c r="D1006" s="212" t="s">
        <v>934</v>
      </c>
      <c r="E1006" s="35">
        <v>42552</v>
      </c>
      <c r="F1006" s="144" t="s">
        <v>159</v>
      </c>
      <c r="G1006" s="191" t="s">
        <v>115</v>
      </c>
      <c r="H1006" s="198"/>
      <c r="I1006" s="186"/>
      <c r="J1006" s="186"/>
      <c r="K1006" s="185"/>
      <c r="L1006" s="186"/>
      <c r="M1006" s="36">
        <v>2428000</v>
      </c>
      <c r="N1006" s="37" t="s">
        <v>34</v>
      </c>
      <c r="O1006" s="37"/>
      <c r="P1006" s="47" t="str">
        <f>IF(AND('331-CT'!$F$5=TH!H1006,OR(N1006="331",O1006="331")),"x","")</f>
        <v/>
      </c>
      <c r="Q1006" s="47" t="str">
        <f>IF(AND(B1006='111'!$L$11,OR($N1006=$Q$7,$O1006=$Q$7)),"x","")</f>
        <v/>
      </c>
      <c r="R1006" s="47" t="str">
        <f>IF(AND($N1006=$Q$7,$B1006&lt;'111'!$L$11),"x","")</f>
        <v>x</v>
      </c>
      <c r="S1006" s="47" t="str">
        <f>IF(AND($O1006=$Q$7,$B1006&lt;'111'!$L$11),"x","")</f>
        <v/>
      </c>
    </row>
    <row r="1007" spans="1:19" ht="15.75" customHeight="1">
      <c r="A1007" s="152" t="str">
        <f>IF(B1007&lt;&gt;"",IF(AND(B1007='IN-TC'!$S$4,OR(TH!N1007="1111",TH!O1007="1111")),TH!D1007,""),"")</f>
        <v/>
      </c>
      <c r="B1007" s="34">
        <f t="shared" si="34"/>
        <v>7</v>
      </c>
      <c r="C1007" s="35">
        <f t="shared" si="35"/>
        <v>42552</v>
      </c>
      <c r="D1007" s="212" t="s">
        <v>935</v>
      </c>
      <c r="E1007" s="35">
        <v>42552</v>
      </c>
      <c r="F1007" s="144" t="s">
        <v>131</v>
      </c>
      <c r="G1007" s="191" t="s">
        <v>104</v>
      </c>
      <c r="H1007" s="198"/>
      <c r="I1007" s="186"/>
      <c r="J1007" s="186"/>
      <c r="K1007" s="185"/>
      <c r="L1007" s="186"/>
      <c r="M1007" s="36">
        <v>960000000</v>
      </c>
      <c r="N1007" s="37" t="s">
        <v>34</v>
      </c>
      <c r="O1007" s="37"/>
      <c r="P1007" s="47" t="str">
        <f>IF(AND('331-CT'!$F$5=TH!H1007,OR(N1007="331",O1007="331")),"x","")</f>
        <v/>
      </c>
      <c r="Q1007" s="47" t="str">
        <f>IF(AND(B1007='111'!$L$11,OR($N1007=$Q$7,$O1007=$Q$7)),"x","")</f>
        <v/>
      </c>
      <c r="R1007" s="47" t="str">
        <f>IF(AND($N1007=$Q$7,$B1007&lt;'111'!$L$11),"x","")</f>
        <v>x</v>
      </c>
      <c r="S1007" s="47" t="str">
        <f>IF(AND($O1007=$Q$7,$B1007&lt;'111'!$L$11),"x","")</f>
        <v/>
      </c>
    </row>
    <row r="1008" spans="1:19" ht="15.75" customHeight="1">
      <c r="A1008" s="152" t="str">
        <f>IF(B1008&lt;&gt;"",IF(AND(B1008='IN-TC'!$S$4,OR(TH!N1008="1111",TH!O1008="1111")),TH!D1008,""),"")</f>
        <v/>
      </c>
      <c r="B1008" s="34">
        <f t="shared" si="34"/>
        <v>7</v>
      </c>
      <c r="C1008" s="35">
        <f t="shared" si="35"/>
        <v>42552</v>
      </c>
      <c r="D1008" s="212" t="s">
        <v>936</v>
      </c>
      <c r="E1008" s="35">
        <v>42552</v>
      </c>
      <c r="F1008" s="144" t="s">
        <v>195</v>
      </c>
      <c r="G1008" s="191" t="s">
        <v>104</v>
      </c>
      <c r="H1008" s="198"/>
      <c r="I1008" s="186"/>
      <c r="J1008" s="186"/>
      <c r="K1008" s="185"/>
      <c r="L1008" s="186"/>
      <c r="M1008" s="36">
        <v>2000000000</v>
      </c>
      <c r="N1008" s="37" t="s">
        <v>34</v>
      </c>
      <c r="O1008" s="37"/>
      <c r="P1008" s="47" t="str">
        <f>IF(AND('331-CT'!$F$5=TH!H1008,OR(N1008="331",O1008="331")),"x","")</f>
        <v/>
      </c>
      <c r="Q1008" s="47" t="str">
        <f>IF(AND(B1008='111'!$L$11,OR($N1008=$Q$7,$O1008=$Q$7)),"x","")</f>
        <v/>
      </c>
      <c r="R1008" s="47" t="str">
        <f>IF(AND($N1008=$Q$7,$B1008&lt;'111'!$L$11),"x","")</f>
        <v>x</v>
      </c>
      <c r="S1008" s="47" t="str">
        <f>IF(AND($O1008=$Q$7,$B1008&lt;'111'!$L$11),"x","")</f>
        <v/>
      </c>
    </row>
    <row r="1009" spans="1:19" ht="15.75" customHeight="1">
      <c r="A1009" s="152" t="str">
        <f>IF(B1009&lt;&gt;"",IF(AND(B1009='IN-TC'!$S$4,OR(TH!N1009="1111",TH!O1009="1111")),TH!D1009,""),"")</f>
        <v/>
      </c>
      <c r="B1009" s="34">
        <f t="shared" si="34"/>
        <v>7</v>
      </c>
      <c r="C1009" s="35">
        <f t="shared" si="35"/>
        <v>42552</v>
      </c>
      <c r="D1009" s="212" t="s">
        <v>937</v>
      </c>
      <c r="E1009" s="35">
        <v>42552</v>
      </c>
      <c r="F1009" s="144" t="s">
        <v>134</v>
      </c>
      <c r="G1009" s="191" t="s">
        <v>105</v>
      </c>
      <c r="H1009" s="198" t="s">
        <v>1413</v>
      </c>
      <c r="I1009" s="186"/>
      <c r="J1009" s="186"/>
      <c r="K1009" s="185"/>
      <c r="L1009" s="186"/>
      <c r="M1009" s="36">
        <v>800000000</v>
      </c>
      <c r="N1009" s="37" t="s">
        <v>34</v>
      </c>
      <c r="O1009" s="37" t="s">
        <v>812</v>
      </c>
      <c r="P1009" s="47" t="str">
        <f>IF(AND('331-CT'!$F$5=TH!H1009,OR(N1009="331",O1009="331")),"x","")</f>
        <v/>
      </c>
      <c r="Q1009" s="47" t="str">
        <f>IF(AND(B1009='111'!$L$11,OR($N1009=$Q$7,$O1009=$Q$7)),"x","")</f>
        <v/>
      </c>
      <c r="R1009" s="47" t="str">
        <f>IF(AND($N1009=$Q$7,$B1009&lt;'111'!$L$11),"x","")</f>
        <v>x</v>
      </c>
      <c r="S1009" s="47" t="str">
        <f>IF(AND($O1009=$Q$7,$B1009&lt;'111'!$L$11),"x","")</f>
        <v/>
      </c>
    </row>
    <row r="1010" spans="1:19" ht="15.75" customHeight="1">
      <c r="A1010" s="152" t="str">
        <f>IF(B1010&lt;&gt;"",IF(AND(B1010='IN-TC'!$S$4,OR(TH!N1010="1111",TH!O1010="1111")),TH!D1010,""),"")</f>
        <v/>
      </c>
      <c r="B1010" s="34">
        <f t="shared" si="34"/>
        <v>7</v>
      </c>
      <c r="C1010" s="35">
        <f t="shared" si="35"/>
        <v>42552</v>
      </c>
      <c r="D1010" s="212" t="s">
        <v>860</v>
      </c>
      <c r="E1010" s="35">
        <v>42552</v>
      </c>
      <c r="F1010" s="144" t="s">
        <v>779</v>
      </c>
      <c r="G1010" s="191" t="s">
        <v>205</v>
      </c>
      <c r="H1010" s="198"/>
      <c r="I1010" s="186"/>
      <c r="J1010" s="186"/>
      <c r="K1010" s="185"/>
      <c r="L1010" s="186"/>
      <c r="M1010" s="36">
        <v>2500000</v>
      </c>
      <c r="N1010" s="37"/>
      <c r="O1010" s="37" t="s">
        <v>34</v>
      </c>
      <c r="P1010" s="47" t="str">
        <f>IF(AND('331-CT'!$F$5=TH!H1010,OR(N1010="331",O1010="331")),"x","")</f>
        <v/>
      </c>
      <c r="Q1010" s="47" t="str">
        <f>IF(AND(B1010='111'!$L$11,OR($N1010=$Q$7,$O1010=$Q$7)),"x","")</f>
        <v/>
      </c>
      <c r="R1010" s="47" t="str">
        <f>IF(AND($N1010=$Q$7,$B1010&lt;'111'!$L$11),"x","")</f>
        <v/>
      </c>
      <c r="S1010" s="47" t="str">
        <f>IF(AND($O1010=$Q$7,$B1010&lt;'111'!$L$11),"x","")</f>
        <v>x</v>
      </c>
    </row>
    <row r="1011" spans="1:19" ht="15.75" customHeight="1">
      <c r="A1011" s="152" t="str">
        <f>IF(B1011&lt;&gt;"",IF(AND(B1011='IN-TC'!$S$4,OR(TH!N1011="1111",TH!O1011="1111")),TH!D1011,""),"")</f>
        <v/>
      </c>
      <c r="B1011" s="34">
        <f t="shared" si="34"/>
        <v>7</v>
      </c>
      <c r="C1011" s="35">
        <f t="shared" si="35"/>
        <v>42552</v>
      </c>
      <c r="D1011" s="212" t="s">
        <v>861</v>
      </c>
      <c r="E1011" s="35">
        <v>42552</v>
      </c>
      <c r="F1011" s="144" t="s">
        <v>780</v>
      </c>
      <c r="G1011" s="191" t="s">
        <v>230</v>
      </c>
      <c r="H1011" s="198"/>
      <c r="I1011" s="186"/>
      <c r="J1011" s="186"/>
      <c r="K1011" s="185"/>
      <c r="L1011" s="186"/>
      <c r="M1011" s="36">
        <v>500000</v>
      </c>
      <c r="N1011" s="37"/>
      <c r="O1011" s="37" t="s">
        <v>34</v>
      </c>
      <c r="P1011" s="47" t="str">
        <f>IF(AND('331-CT'!$F$5=TH!H1011,OR(N1011="331",O1011="331")),"x","")</f>
        <v/>
      </c>
      <c r="Q1011" s="47" t="str">
        <f>IF(AND(B1011='111'!$L$11,OR($N1011=$Q$7,$O1011=$Q$7)),"x","")</f>
        <v/>
      </c>
      <c r="R1011" s="47" t="str">
        <f>IF(AND($N1011=$Q$7,$B1011&lt;'111'!$L$11),"x","")</f>
        <v/>
      </c>
      <c r="S1011" s="47" t="str">
        <f>IF(AND($O1011=$Q$7,$B1011&lt;'111'!$L$11),"x","")</f>
        <v>x</v>
      </c>
    </row>
    <row r="1012" spans="1:19" ht="15.75" customHeight="1">
      <c r="A1012" s="152" t="str">
        <f>IF(B1012&lt;&gt;"",IF(AND(B1012='IN-TC'!$S$4,OR(TH!N1012="1111",TH!O1012="1111")),TH!D1012,""),"")</f>
        <v/>
      </c>
      <c r="B1012" s="34">
        <f t="shared" si="34"/>
        <v>7</v>
      </c>
      <c r="C1012" s="35">
        <f t="shared" si="35"/>
        <v>42552</v>
      </c>
      <c r="D1012" s="212" t="s">
        <v>862</v>
      </c>
      <c r="E1012" s="35">
        <v>42552</v>
      </c>
      <c r="F1012" s="144" t="s">
        <v>781</v>
      </c>
      <c r="G1012" s="191" t="s">
        <v>205</v>
      </c>
      <c r="H1012" s="198"/>
      <c r="I1012" s="186"/>
      <c r="J1012" s="186"/>
      <c r="K1012" s="185"/>
      <c r="L1012" s="186"/>
      <c r="M1012" s="36">
        <v>1000000</v>
      </c>
      <c r="N1012" s="37"/>
      <c r="O1012" s="37" t="s">
        <v>34</v>
      </c>
      <c r="P1012" s="47" t="str">
        <f>IF(AND('331-CT'!$F$5=TH!H1012,OR(N1012="331",O1012="331")),"x","")</f>
        <v/>
      </c>
      <c r="Q1012" s="47" t="str">
        <f>IF(AND(B1012='111'!$L$11,OR($N1012=$Q$7,$O1012=$Q$7)),"x","")</f>
        <v/>
      </c>
      <c r="R1012" s="47" t="str">
        <f>IF(AND($N1012=$Q$7,$B1012&lt;'111'!$L$11),"x","")</f>
        <v/>
      </c>
      <c r="S1012" s="47" t="str">
        <f>IF(AND($O1012=$Q$7,$B1012&lt;'111'!$L$11),"x","")</f>
        <v>x</v>
      </c>
    </row>
    <row r="1013" spans="1:19" ht="15.75" customHeight="1">
      <c r="A1013" s="152" t="str">
        <f>IF(B1013&lt;&gt;"",IF(AND(B1013='IN-TC'!$S$4,OR(TH!N1013="1111",TH!O1013="1111")),TH!D1013,""),"")</f>
        <v/>
      </c>
      <c r="B1013" s="34">
        <f t="shared" si="34"/>
        <v>7</v>
      </c>
      <c r="C1013" s="35">
        <f t="shared" si="35"/>
        <v>42552</v>
      </c>
      <c r="D1013" s="212" t="s">
        <v>863</v>
      </c>
      <c r="E1013" s="35">
        <v>42552</v>
      </c>
      <c r="F1013" s="144" t="s">
        <v>782</v>
      </c>
      <c r="G1013" s="191" t="s">
        <v>104</v>
      </c>
      <c r="H1013" s="198"/>
      <c r="I1013" s="186"/>
      <c r="J1013" s="186"/>
      <c r="K1013" s="185"/>
      <c r="L1013" s="186"/>
      <c r="M1013" s="36">
        <v>800000000</v>
      </c>
      <c r="N1013" s="37"/>
      <c r="O1013" s="37" t="s">
        <v>34</v>
      </c>
      <c r="P1013" s="47" t="str">
        <f>IF(AND('331-CT'!$F$5=TH!H1013,OR(N1013="331",O1013="331")),"x","")</f>
        <v/>
      </c>
      <c r="Q1013" s="47" t="str">
        <f>IF(AND(B1013='111'!$L$11,OR($N1013=$Q$7,$O1013=$Q$7)),"x","")</f>
        <v/>
      </c>
      <c r="R1013" s="47" t="str">
        <f>IF(AND($N1013=$Q$7,$B1013&lt;'111'!$L$11),"x","")</f>
        <v/>
      </c>
      <c r="S1013" s="47" t="str">
        <f>IF(AND($O1013=$Q$7,$B1013&lt;'111'!$L$11),"x","")</f>
        <v>x</v>
      </c>
    </row>
    <row r="1014" spans="1:19" ht="15.75" customHeight="1">
      <c r="A1014" s="152" t="str">
        <f>IF(B1014&lt;&gt;"",IF(AND(B1014='IN-TC'!$S$4,OR(TH!N1014="1111",TH!O1014="1111")),TH!D1014,""),"")</f>
        <v/>
      </c>
      <c r="B1014" s="34">
        <f t="shared" si="34"/>
        <v>7</v>
      </c>
      <c r="C1014" s="35">
        <f t="shared" si="35"/>
        <v>42552</v>
      </c>
      <c r="D1014" s="212"/>
      <c r="E1014" s="35">
        <v>42552</v>
      </c>
      <c r="F1014" s="144" t="s">
        <v>1481</v>
      </c>
      <c r="G1014" s="191"/>
      <c r="H1014" s="198" t="s">
        <v>843</v>
      </c>
      <c r="I1014" s="186"/>
      <c r="J1014" s="186"/>
      <c r="K1014" s="185"/>
      <c r="L1014" s="186"/>
      <c r="M1014" s="36">
        <v>62550000</v>
      </c>
      <c r="N1014" s="37" t="s">
        <v>1443</v>
      </c>
      <c r="O1014" s="37" t="s">
        <v>8</v>
      </c>
      <c r="P1014" s="47" t="str">
        <f>IF(AND('331-CT'!$F$5=TH!H1014,OR(N1014="331",O1014="331")),"x","")</f>
        <v/>
      </c>
      <c r="Q1014" s="47" t="str">
        <f>IF(AND(B1014='111'!$L$11,OR($N1014=$Q$7,$O1014=$Q$7)),"x","")</f>
        <v/>
      </c>
      <c r="R1014" s="47" t="str">
        <f>IF(AND($N1014=$Q$7,$B1014&lt;'111'!$L$11),"x","")</f>
        <v/>
      </c>
      <c r="S1014" s="47" t="str">
        <f>IF(AND($O1014=$Q$7,$B1014&lt;'111'!$L$11),"x","")</f>
        <v/>
      </c>
    </row>
    <row r="1015" spans="1:19" ht="15.75" customHeight="1">
      <c r="A1015" s="152" t="str">
        <f>IF(B1015&lt;&gt;"",IF(AND(B1015='IN-TC'!$S$4,OR(TH!N1015="1111",TH!O1015="1111")),TH!D1015,""),"")</f>
        <v/>
      </c>
      <c r="B1015" s="34">
        <f t="shared" si="34"/>
        <v>7</v>
      </c>
      <c r="C1015" s="35">
        <f t="shared" si="35"/>
        <v>42553</v>
      </c>
      <c r="D1015" s="212" t="s">
        <v>864</v>
      </c>
      <c r="E1015" s="35">
        <v>42553</v>
      </c>
      <c r="F1015" s="144" t="s">
        <v>783</v>
      </c>
      <c r="G1015" s="191" t="s">
        <v>104</v>
      </c>
      <c r="H1015" s="198"/>
      <c r="I1015" s="186"/>
      <c r="J1015" s="186"/>
      <c r="K1015" s="185"/>
      <c r="L1015" s="186"/>
      <c r="M1015" s="36">
        <v>1990000000</v>
      </c>
      <c r="N1015" s="37"/>
      <c r="O1015" s="37" t="s">
        <v>34</v>
      </c>
      <c r="P1015" s="47" t="str">
        <f>IF(AND('331-CT'!$F$5=TH!H1015,OR(N1015="331",O1015="331")),"x","")</f>
        <v/>
      </c>
      <c r="Q1015" s="47" t="str">
        <f>IF(AND(B1015='111'!$L$11,OR($N1015=$Q$7,$O1015=$Q$7)),"x","")</f>
        <v/>
      </c>
      <c r="R1015" s="47" t="str">
        <f>IF(AND($N1015=$Q$7,$B1015&lt;'111'!$L$11),"x","")</f>
        <v/>
      </c>
      <c r="S1015" s="47" t="str">
        <f>IF(AND($O1015=$Q$7,$B1015&lt;'111'!$L$11),"x","")</f>
        <v>x</v>
      </c>
    </row>
    <row r="1016" spans="1:19" ht="15.75" customHeight="1">
      <c r="A1016" s="152" t="str">
        <f>IF(B1016&lt;&gt;"",IF(AND(B1016='IN-TC'!$S$4,OR(TH!N1016="1111",TH!O1016="1111")),TH!D1016,""),"")</f>
        <v/>
      </c>
      <c r="B1016" s="34">
        <f t="shared" si="34"/>
        <v>7</v>
      </c>
      <c r="C1016" s="35">
        <f t="shared" si="35"/>
        <v>42553</v>
      </c>
      <c r="D1016" s="212" t="s">
        <v>865</v>
      </c>
      <c r="E1016" s="35">
        <v>42553</v>
      </c>
      <c r="F1016" s="144" t="s">
        <v>784</v>
      </c>
      <c r="G1016" s="191" t="s">
        <v>204</v>
      </c>
      <c r="H1016" s="198"/>
      <c r="I1016" s="186"/>
      <c r="J1016" s="186"/>
      <c r="K1016" s="185"/>
      <c r="L1016" s="186"/>
      <c r="M1016" s="36">
        <v>150045000</v>
      </c>
      <c r="N1016" s="37"/>
      <c r="O1016" s="37" t="s">
        <v>34</v>
      </c>
      <c r="P1016" s="47" t="str">
        <f>IF(AND('331-CT'!$F$5=TH!H1016,OR(N1016="331",O1016="331")),"x","")</f>
        <v/>
      </c>
      <c r="Q1016" s="47" t="str">
        <f>IF(AND(B1016='111'!$L$11,OR($N1016=$Q$7,$O1016=$Q$7)),"x","")</f>
        <v/>
      </c>
      <c r="R1016" s="47" t="str">
        <f>IF(AND($N1016=$Q$7,$B1016&lt;'111'!$L$11),"x","")</f>
        <v/>
      </c>
      <c r="S1016" s="47" t="str">
        <f>IF(AND($O1016=$Q$7,$B1016&lt;'111'!$L$11),"x","")</f>
        <v>x</v>
      </c>
    </row>
    <row r="1017" spans="1:19" ht="15.75" customHeight="1">
      <c r="A1017" s="152" t="str">
        <f>IF(B1017&lt;&gt;"",IF(AND(B1017='IN-TC'!$S$4,OR(TH!N1017="1111",TH!O1017="1111")),TH!D1017,""),"")</f>
        <v/>
      </c>
      <c r="B1017" s="34">
        <f t="shared" si="34"/>
        <v>7</v>
      </c>
      <c r="C1017" s="35">
        <f t="shared" si="35"/>
        <v>42553</v>
      </c>
      <c r="D1017" s="212" t="s">
        <v>866</v>
      </c>
      <c r="E1017" s="35">
        <v>42553</v>
      </c>
      <c r="F1017" s="144" t="s">
        <v>1382</v>
      </c>
      <c r="G1017" s="191" t="s">
        <v>203</v>
      </c>
      <c r="H1017" s="198" t="s">
        <v>1067</v>
      </c>
      <c r="I1017" s="186"/>
      <c r="J1017" s="186"/>
      <c r="K1017" s="185"/>
      <c r="L1017" s="186"/>
      <c r="M1017" s="36">
        <v>10517000</v>
      </c>
      <c r="N1017" s="37" t="s">
        <v>814</v>
      </c>
      <c r="O1017" s="37" t="s">
        <v>34</v>
      </c>
      <c r="P1017" s="47" t="str">
        <f>IF(AND('331-CT'!$F$5=TH!H1017,OR(N1017="331",O1017="331")),"x","")</f>
        <v/>
      </c>
      <c r="Q1017" s="47" t="str">
        <f>IF(AND(B1017='111'!$L$11,OR($N1017=$Q$7,$O1017=$Q$7)),"x","")</f>
        <v/>
      </c>
      <c r="R1017" s="47" t="str">
        <f>IF(AND($N1017=$Q$7,$B1017&lt;'111'!$L$11),"x","")</f>
        <v/>
      </c>
      <c r="S1017" s="47" t="str">
        <f>IF(AND($O1017=$Q$7,$B1017&lt;'111'!$L$11),"x","")</f>
        <v>x</v>
      </c>
    </row>
    <row r="1018" spans="1:19" ht="15.75" customHeight="1">
      <c r="A1018" s="152" t="str">
        <f>IF(B1018&lt;&gt;"",IF(AND(B1018='IN-TC'!$S$4,OR(TH!N1018="1111",TH!O1018="1111")),TH!D1018,""),"")</f>
        <v/>
      </c>
      <c r="B1018" s="34">
        <f t="shared" si="34"/>
        <v>7</v>
      </c>
      <c r="C1018" s="35">
        <f t="shared" si="35"/>
        <v>42553</v>
      </c>
      <c r="D1018" s="212" t="s">
        <v>867</v>
      </c>
      <c r="E1018" s="35">
        <v>42553</v>
      </c>
      <c r="F1018" s="144" t="s">
        <v>280</v>
      </c>
      <c r="G1018" s="191" t="s">
        <v>232</v>
      </c>
      <c r="H1018" s="198"/>
      <c r="I1018" s="186"/>
      <c r="J1018" s="186"/>
      <c r="K1018" s="185"/>
      <c r="L1018" s="186"/>
      <c r="M1018" s="36">
        <v>7920000</v>
      </c>
      <c r="N1018" s="37"/>
      <c r="O1018" s="37" t="s">
        <v>34</v>
      </c>
      <c r="P1018" s="47" t="str">
        <f>IF(AND('331-CT'!$F$5=TH!H1018,OR(N1018="331",O1018="331")),"x","")</f>
        <v/>
      </c>
      <c r="Q1018" s="47" t="str">
        <f>IF(AND(B1018='111'!$L$11,OR($N1018=$Q$7,$O1018=$Q$7)),"x","")</f>
        <v/>
      </c>
      <c r="R1018" s="47" t="str">
        <f>IF(AND($N1018=$Q$7,$B1018&lt;'111'!$L$11),"x","")</f>
        <v/>
      </c>
      <c r="S1018" s="47" t="str">
        <f>IF(AND($O1018=$Q$7,$B1018&lt;'111'!$L$11),"x","")</f>
        <v>x</v>
      </c>
    </row>
    <row r="1019" spans="1:19" ht="15.75" customHeight="1">
      <c r="A1019" s="152" t="str">
        <f>IF(B1019&lt;&gt;"",IF(AND(B1019='IN-TC'!$S$4,OR(TH!N1019="1111",TH!O1019="1111")),TH!D1019,""),"")</f>
        <v/>
      </c>
      <c r="B1019" s="34">
        <f t="shared" si="34"/>
        <v>7</v>
      </c>
      <c r="C1019" s="35">
        <f t="shared" si="35"/>
        <v>42553</v>
      </c>
      <c r="D1019" s="212" t="s">
        <v>868</v>
      </c>
      <c r="E1019" s="35">
        <v>42553</v>
      </c>
      <c r="F1019" s="144" t="s">
        <v>785</v>
      </c>
      <c r="G1019" s="191" t="s">
        <v>233</v>
      </c>
      <c r="H1019" s="198"/>
      <c r="I1019" s="186"/>
      <c r="J1019" s="186"/>
      <c r="K1019" s="185"/>
      <c r="L1019" s="186"/>
      <c r="M1019" s="36">
        <v>300000</v>
      </c>
      <c r="N1019" s="37"/>
      <c r="O1019" s="37" t="s">
        <v>34</v>
      </c>
      <c r="P1019" s="47" t="str">
        <f>IF(AND('331-CT'!$F$5=TH!H1019,OR(N1019="331",O1019="331")),"x","")</f>
        <v/>
      </c>
      <c r="Q1019" s="47" t="str">
        <f>IF(AND(B1019='111'!$L$11,OR($N1019=$Q$7,$O1019=$Q$7)),"x","")</f>
        <v/>
      </c>
      <c r="R1019" s="47" t="str">
        <f>IF(AND($N1019=$Q$7,$B1019&lt;'111'!$L$11),"x","")</f>
        <v/>
      </c>
      <c r="S1019" s="47" t="str">
        <f>IF(AND($O1019=$Q$7,$B1019&lt;'111'!$L$11),"x","")</f>
        <v>x</v>
      </c>
    </row>
    <row r="1020" spans="1:19" ht="15.75" customHeight="1">
      <c r="A1020" s="152" t="str">
        <f>IF(B1020&lt;&gt;"",IF(AND(B1020='IN-TC'!$S$4,OR(TH!N1020="1111",TH!O1020="1111")),TH!D1020,""),"")</f>
        <v/>
      </c>
      <c r="B1020" s="34">
        <f t="shared" si="34"/>
        <v>7</v>
      </c>
      <c r="C1020" s="35">
        <f t="shared" si="35"/>
        <v>42553</v>
      </c>
      <c r="D1020" s="212" t="s">
        <v>869</v>
      </c>
      <c r="E1020" s="35">
        <v>42553</v>
      </c>
      <c r="F1020" s="144" t="s">
        <v>786</v>
      </c>
      <c r="G1020" s="191" t="s">
        <v>212</v>
      </c>
      <c r="H1020" s="198"/>
      <c r="I1020" s="186"/>
      <c r="J1020" s="186"/>
      <c r="K1020" s="185"/>
      <c r="L1020" s="186"/>
      <c r="M1020" s="36">
        <v>55223000</v>
      </c>
      <c r="N1020" s="37"/>
      <c r="O1020" s="37" t="s">
        <v>34</v>
      </c>
      <c r="P1020" s="47" t="str">
        <f>IF(AND('331-CT'!$F$5=TH!H1020,OR(N1020="331",O1020="331")),"x","")</f>
        <v/>
      </c>
      <c r="Q1020" s="47" t="str">
        <f>IF(AND(B1020='111'!$L$11,OR($N1020=$Q$7,$O1020=$Q$7)),"x","")</f>
        <v/>
      </c>
      <c r="R1020" s="47" t="str">
        <f>IF(AND($N1020=$Q$7,$B1020&lt;'111'!$L$11),"x","")</f>
        <v/>
      </c>
      <c r="S1020" s="47" t="str">
        <f>IF(AND($O1020=$Q$7,$B1020&lt;'111'!$L$11),"x","")</f>
        <v>x</v>
      </c>
    </row>
    <row r="1021" spans="1:19" ht="15.75" customHeight="1">
      <c r="A1021" s="152" t="str">
        <f>IF(B1021&lt;&gt;"",IF(AND(B1021='IN-TC'!$S$4,OR(TH!N1021="1111",TH!O1021="1111")),TH!D1021,""),"")</f>
        <v/>
      </c>
      <c r="B1021" s="34">
        <f t="shared" si="34"/>
        <v>7</v>
      </c>
      <c r="C1021" s="35">
        <f t="shared" si="35"/>
        <v>42553</v>
      </c>
      <c r="D1021" s="212" t="s">
        <v>870</v>
      </c>
      <c r="E1021" s="35">
        <v>42553</v>
      </c>
      <c r="F1021" s="144" t="s">
        <v>787</v>
      </c>
      <c r="G1021" s="191" t="s">
        <v>225</v>
      </c>
      <c r="H1021" s="198"/>
      <c r="I1021" s="186"/>
      <c r="J1021" s="186"/>
      <c r="K1021" s="185"/>
      <c r="L1021" s="186"/>
      <c r="M1021" s="36">
        <v>9685000</v>
      </c>
      <c r="N1021" s="37"/>
      <c r="O1021" s="37" t="s">
        <v>34</v>
      </c>
      <c r="P1021" s="47" t="str">
        <f>IF(AND('331-CT'!$F$5=TH!H1021,OR(N1021="331",O1021="331")),"x","")</f>
        <v/>
      </c>
      <c r="Q1021" s="47" t="str">
        <f>IF(AND(B1021='111'!$L$11,OR($N1021=$Q$7,$O1021=$Q$7)),"x","")</f>
        <v/>
      </c>
      <c r="R1021" s="47" t="str">
        <f>IF(AND($N1021=$Q$7,$B1021&lt;'111'!$L$11),"x","")</f>
        <v/>
      </c>
      <c r="S1021" s="47" t="str">
        <f>IF(AND($O1021=$Q$7,$B1021&lt;'111'!$L$11),"x","")</f>
        <v>x</v>
      </c>
    </row>
    <row r="1022" spans="1:19" ht="15.75" customHeight="1">
      <c r="A1022" s="152" t="str">
        <f>IF(B1022&lt;&gt;"",IF(AND(B1022='IN-TC'!$S$4,OR(TH!N1022="1111",TH!O1022="1111")),TH!D1022,""),"")</f>
        <v/>
      </c>
      <c r="B1022" s="34">
        <f t="shared" si="34"/>
        <v>7</v>
      </c>
      <c r="C1022" s="35">
        <f t="shared" si="35"/>
        <v>42553</v>
      </c>
      <c r="D1022" s="212"/>
      <c r="E1022" s="35">
        <v>42553</v>
      </c>
      <c r="F1022" s="144" t="s">
        <v>1467</v>
      </c>
      <c r="G1022" s="191"/>
      <c r="H1022" s="198" t="s">
        <v>831</v>
      </c>
      <c r="I1022" s="186">
        <v>640</v>
      </c>
      <c r="J1022" s="186">
        <v>12000</v>
      </c>
      <c r="K1022" s="185"/>
      <c r="L1022" s="186"/>
      <c r="M1022" s="36">
        <f>ROUND(I1022*J1022,0)</f>
        <v>7680000</v>
      </c>
      <c r="N1022" s="37" t="s">
        <v>1443</v>
      </c>
      <c r="O1022" s="37" t="s">
        <v>8</v>
      </c>
      <c r="P1022" s="47" t="str">
        <f>IF(AND('331-CT'!$F$5=TH!H1022,OR(N1022="331",O1022="331")),"x","")</f>
        <v/>
      </c>
      <c r="Q1022" s="47" t="str">
        <f>IF(AND(B1022='111'!$L$11,OR($N1022=$Q$7,$O1022=$Q$7)),"x","")</f>
        <v/>
      </c>
      <c r="R1022" s="47" t="str">
        <f>IF(AND($N1022=$Q$7,$B1022&lt;'111'!$L$11),"x","")</f>
        <v/>
      </c>
      <c r="S1022" s="47" t="str">
        <f>IF(AND($O1022=$Q$7,$B1022&lt;'111'!$L$11),"x","")</f>
        <v/>
      </c>
    </row>
    <row r="1023" spans="1:19" ht="15.75" customHeight="1">
      <c r="A1023" s="152" t="str">
        <f>IF(B1023&lt;&gt;"",IF(AND(B1023='IN-TC'!$S$4,OR(TH!N1023="1111",TH!O1023="1111")),TH!D1023,""),"")</f>
        <v/>
      </c>
      <c r="B1023" s="34">
        <f t="shared" si="34"/>
        <v>7</v>
      </c>
      <c r="C1023" s="35">
        <f t="shared" si="35"/>
        <v>42553</v>
      </c>
      <c r="D1023" s="212"/>
      <c r="E1023" s="35">
        <v>42553</v>
      </c>
      <c r="F1023" s="144" t="s">
        <v>1449</v>
      </c>
      <c r="G1023" s="191" t="s">
        <v>204</v>
      </c>
      <c r="H1023" s="7" t="s">
        <v>851</v>
      </c>
      <c r="I1023" s="186">
        <v>5513.5</v>
      </c>
      <c r="J1023" s="186">
        <v>47000</v>
      </c>
      <c r="K1023" s="185"/>
      <c r="L1023" s="186"/>
      <c r="M1023" s="36">
        <f>ROUND(I1023*J1023,-3)-1000</f>
        <v>259134000</v>
      </c>
      <c r="N1023" s="37" t="s">
        <v>1443</v>
      </c>
      <c r="O1023" s="37" t="s">
        <v>8</v>
      </c>
      <c r="P1023" s="47" t="str">
        <f>IF(AND('331-CT'!$F$5=TH!H1023,OR(N1023="331",O1023="331")),"x","")</f>
        <v/>
      </c>
      <c r="Q1023" s="47" t="str">
        <f>IF(AND(B1023='111'!$L$11,OR($N1023=$Q$7,$O1023=$Q$7)),"x","")</f>
        <v/>
      </c>
      <c r="R1023" s="47" t="str">
        <f>IF(AND($N1023=$Q$7,$B1023&lt;'111'!$L$11),"x","")</f>
        <v/>
      </c>
      <c r="S1023" s="47" t="str">
        <f>IF(AND($O1023=$Q$7,$B1023&lt;'111'!$L$11),"x","")</f>
        <v/>
      </c>
    </row>
    <row r="1024" spans="1:19" ht="15.75" customHeight="1">
      <c r="A1024" s="152" t="str">
        <f>IF(B1024&lt;&gt;"",IF(AND(B1024='IN-TC'!$S$4,OR(TH!N1024="1111",TH!O1024="1111")),TH!D1024,""),"")</f>
        <v/>
      </c>
      <c r="B1024" s="34">
        <f t="shared" si="34"/>
        <v>7</v>
      </c>
      <c r="C1024" s="35">
        <f t="shared" si="35"/>
        <v>42553</v>
      </c>
      <c r="D1024" s="212"/>
      <c r="E1024" s="35">
        <v>42553</v>
      </c>
      <c r="F1024" s="144" t="s">
        <v>1466</v>
      </c>
      <c r="G1024" s="191" t="s">
        <v>204</v>
      </c>
      <c r="H1024" s="198" t="s">
        <v>832</v>
      </c>
      <c r="I1024" s="186">
        <v>894</v>
      </c>
      <c r="J1024" s="186">
        <v>15000</v>
      </c>
      <c r="K1024" s="185"/>
      <c r="L1024" s="186"/>
      <c r="M1024" s="36">
        <f>ROUND(I1024*J1024,0)</f>
        <v>13410000</v>
      </c>
      <c r="N1024" s="37" t="s">
        <v>1443</v>
      </c>
      <c r="O1024" s="37" t="s">
        <v>8</v>
      </c>
      <c r="P1024" s="47" t="str">
        <f>IF(AND('331-CT'!$F$5=TH!H1024,OR(N1024="331",O1024="331")),"x","")</f>
        <v/>
      </c>
      <c r="Q1024" s="47" t="str">
        <f>IF(AND(B1024='111'!$L$11,OR($N1024=$Q$7,$O1024=$Q$7)),"x","")</f>
        <v/>
      </c>
      <c r="R1024" s="47" t="str">
        <f>IF(AND($N1024=$Q$7,$B1024&lt;'111'!$L$11),"x","")</f>
        <v/>
      </c>
      <c r="S1024" s="47" t="str">
        <f>IF(AND($O1024=$Q$7,$B1024&lt;'111'!$L$11),"x","")</f>
        <v/>
      </c>
    </row>
    <row r="1025" spans="1:19" ht="15.75" customHeight="1">
      <c r="A1025" s="152" t="str">
        <f>IF(B1025&lt;&gt;"",IF(AND(B1025='IN-TC'!$S$4,OR(TH!N1025="1111",TH!O1025="1111")),TH!D1025,""),"")</f>
        <v/>
      </c>
      <c r="B1025" s="34">
        <f t="shared" si="34"/>
        <v>7</v>
      </c>
      <c r="C1025" s="35">
        <f t="shared" si="35"/>
        <v>42553</v>
      </c>
      <c r="D1025" s="212"/>
      <c r="E1025" s="35">
        <v>42553</v>
      </c>
      <c r="F1025" s="144" t="s">
        <v>1484</v>
      </c>
      <c r="G1025" s="191" t="s">
        <v>204</v>
      </c>
      <c r="H1025" s="198" t="s">
        <v>832</v>
      </c>
      <c r="I1025" s="186">
        <v>153</v>
      </c>
      <c r="J1025" s="186">
        <v>12000</v>
      </c>
      <c r="K1025" s="185"/>
      <c r="L1025" s="186"/>
      <c r="M1025" s="36">
        <f>ROUND(I1025*J1025,0)</f>
        <v>1836000</v>
      </c>
      <c r="N1025" s="37" t="s">
        <v>1443</v>
      </c>
      <c r="O1025" s="37" t="s">
        <v>8</v>
      </c>
      <c r="P1025" s="47" t="str">
        <f>IF(AND('331-CT'!$F$5=TH!H1025,OR(N1025="331",O1025="331")),"x","")</f>
        <v/>
      </c>
      <c r="Q1025" s="47" t="str">
        <f>IF(AND(B1025='111'!$L$11,OR($N1025=$Q$7,$O1025=$Q$7)),"x","")</f>
        <v/>
      </c>
      <c r="R1025" s="47" t="str">
        <f>IF(AND($N1025=$Q$7,$B1025&lt;'111'!$L$11),"x","")</f>
        <v/>
      </c>
      <c r="S1025" s="47" t="str">
        <f>IF(AND($O1025=$Q$7,$B1025&lt;'111'!$L$11),"x","")</f>
        <v/>
      </c>
    </row>
    <row r="1026" spans="1:19" ht="15.75" customHeight="1">
      <c r="A1026" s="152" t="str">
        <f>IF(B1026&lt;&gt;"",IF(AND(B1026='IN-TC'!$S$4,OR(TH!N1026="1111",TH!O1026="1111")),TH!D1026,""),"")</f>
        <v/>
      </c>
      <c r="B1026" s="34">
        <f t="shared" si="34"/>
        <v>7</v>
      </c>
      <c r="C1026" s="35">
        <f t="shared" si="35"/>
        <v>42553</v>
      </c>
      <c r="D1026" s="212"/>
      <c r="E1026" s="35">
        <v>42553</v>
      </c>
      <c r="F1026" s="144" t="s">
        <v>1473</v>
      </c>
      <c r="G1026" s="191" t="s">
        <v>204</v>
      </c>
      <c r="H1026" s="198" t="s">
        <v>832</v>
      </c>
      <c r="I1026" s="186">
        <v>29</v>
      </c>
      <c r="J1026" s="186">
        <v>27000</v>
      </c>
      <c r="K1026" s="185"/>
      <c r="L1026" s="186"/>
      <c r="M1026" s="36">
        <f>ROUND(I1026*J1026,0)</f>
        <v>783000</v>
      </c>
      <c r="N1026" s="37" t="s">
        <v>1443</v>
      </c>
      <c r="O1026" s="37" t="s">
        <v>8</v>
      </c>
      <c r="P1026" s="47" t="str">
        <f>IF(AND('331-CT'!$F$5=TH!H1026,OR(N1026="331",O1026="331")),"x","")</f>
        <v/>
      </c>
      <c r="Q1026" s="47" t="str">
        <f>IF(AND(B1026='111'!$L$11,OR($N1026=$Q$7,$O1026=$Q$7)),"x","")</f>
        <v/>
      </c>
      <c r="R1026" s="47" t="str">
        <f>IF(AND($N1026=$Q$7,$B1026&lt;'111'!$L$11),"x","")</f>
        <v/>
      </c>
      <c r="S1026" s="47" t="str">
        <f>IF(AND($O1026=$Q$7,$B1026&lt;'111'!$L$11),"x","")</f>
        <v/>
      </c>
    </row>
    <row r="1027" spans="1:19" ht="15.75" customHeight="1">
      <c r="A1027" s="152" t="str">
        <f>IF(B1027&lt;&gt;"",IF(AND(B1027='IN-TC'!$S$4,OR(TH!N1027="1111",TH!O1027="1111")),TH!D1027,""),"")</f>
        <v/>
      </c>
      <c r="B1027" s="34">
        <f t="shared" si="34"/>
        <v>7</v>
      </c>
      <c r="C1027" s="35">
        <f t="shared" si="35"/>
        <v>42554</v>
      </c>
      <c r="D1027" s="212"/>
      <c r="E1027" s="35">
        <v>42554</v>
      </c>
      <c r="F1027" s="144" t="s">
        <v>1469</v>
      </c>
      <c r="G1027" s="191"/>
      <c r="H1027" s="198" t="s">
        <v>821</v>
      </c>
      <c r="I1027" s="186">
        <v>195</v>
      </c>
      <c r="J1027" s="186">
        <v>25000</v>
      </c>
      <c r="K1027" s="185"/>
      <c r="L1027" s="186"/>
      <c r="M1027" s="36">
        <f>ROUND(I1027*J1027,-3)</f>
        <v>4875000</v>
      </c>
      <c r="N1027" s="37" t="s">
        <v>1443</v>
      </c>
      <c r="O1027" s="37" t="s">
        <v>8</v>
      </c>
      <c r="P1027" s="47" t="str">
        <f>IF(AND('331-CT'!$F$5=TH!H1027,OR(N1027="331",O1027="331")),"x","")</f>
        <v/>
      </c>
      <c r="Q1027" s="47" t="str">
        <f>IF(AND(B1027='111'!$L$11,OR($N1027=$Q$7,$O1027=$Q$7)),"x","")</f>
        <v/>
      </c>
      <c r="R1027" s="47" t="str">
        <f>IF(AND($N1027=$Q$7,$B1027&lt;'111'!$L$11),"x","")</f>
        <v/>
      </c>
      <c r="S1027" s="47" t="str">
        <f>IF(AND($O1027=$Q$7,$B1027&lt;'111'!$L$11),"x","")</f>
        <v/>
      </c>
    </row>
    <row r="1028" spans="1:19" ht="15.75" customHeight="1">
      <c r="A1028" s="152" t="str">
        <f>IF(B1028&lt;&gt;"",IF(AND(B1028='IN-TC'!$S$4,OR(TH!N1028="1111",TH!O1028="1111")),TH!D1028,""),"")</f>
        <v/>
      </c>
      <c r="B1028" s="34">
        <f t="shared" si="34"/>
        <v>7</v>
      </c>
      <c r="C1028" s="35">
        <f t="shared" si="35"/>
        <v>42554</v>
      </c>
      <c r="D1028" s="212"/>
      <c r="E1028" s="35">
        <v>42554</v>
      </c>
      <c r="F1028" s="144" t="s">
        <v>1464</v>
      </c>
      <c r="G1028" s="191"/>
      <c r="H1028" s="198" t="s">
        <v>821</v>
      </c>
      <c r="I1028" s="186">
        <v>777</v>
      </c>
      <c r="J1028" s="186">
        <v>21000</v>
      </c>
      <c r="K1028" s="185"/>
      <c r="L1028" s="186"/>
      <c r="M1028" s="36">
        <f>ROUND(I1028*J1028,-3)</f>
        <v>16317000</v>
      </c>
      <c r="N1028" s="37" t="s">
        <v>1443</v>
      </c>
      <c r="O1028" s="37" t="s">
        <v>8</v>
      </c>
      <c r="P1028" s="47" t="str">
        <f>IF(AND('331-CT'!$F$5=TH!H1028,OR(N1028="331",O1028="331")),"x","")</f>
        <v/>
      </c>
      <c r="Q1028" s="47" t="str">
        <f>IF(AND(B1028='111'!$L$11,OR($N1028=$Q$7,$O1028=$Q$7)),"x","")</f>
        <v/>
      </c>
      <c r="R1028" s="47" t="str">
        <f>IF(AND($N1028=$Q$7,$B1028&lt;'111'!$L$11),"x","")</f>
        <v/>
      </c>
      <c r="S1028" s="47" t="str">
        <f>IF(AND($O1028=$Q$7,$B1028&lt;'111'!$L$11),"x","")</f>
        <v/>
      </c>
    </row>
    <row r="1029" spans="1:19" ht="15.75" customHeight="1">
      <c r="A1029" s="152" t="str">
        <f>IF(B1029&lt;&gt;"",IF(AND(B1029='IN-TC'!$S$4,OR(TH!N1029="1111",TH!O1029="1111")),TH!D1029,""),"")</f>
        <v/>
      </c>
      <c r="B1029" s="34">
        <f t="shared" si="34"/>
        <v>7</v>
      </c>
      <c r="C1029" s="35">
        <f t="shared" si="35"/>
        <v>42554</v>
      </c>
      <c r="D1029" s="212"/>
      <c r="E1029" s="35">
        <v>42554</v>
      </c>
      <c r="F1029" s="144" t="s">
        <v>1466</v>
      </c>
      <c r="G1029" s="191"/>
      <c r="H1029" s="198" t="s">
        <v>821</v>
      </c>
      <c r="I1029" s="186">
        <v>22</v>
      </c>
      <c r="J1029" s="186">
        <v>15000</v>
      </c>
      <c r="K1029" s="185"/>
      <c r="L1029" s="186"/>
      <c r="M1029" s="36">
        <f>ROUND(I1029*J1029,-3)</f>
        <v>330000</v>
      </c>
      <c r="N1029" s="37" t="s">
        <v>1443</v>
      </c>
      <c r="O1029" s="37" t="s">
        <v>8</v>
      </c>
      <c r="P1029" s="47" t="str">
        <f>IF(AND('331-CT'!$F$5=TH!H1029,OR(N1029="331",O1029="331")),"x","")</f>
        <v/>
      </c>
      <c r="Q1029" s="47" t="str">
        <f>IF(AND(B1029='111'!$L$11,OR($N1029=$Q$7,$O1029=$Q$7)),"x","")</f>
        <v/>
      </c>
      <c r="R1029" s="47" t="str">
        <f>IF(AND($N1029=$Q$7,$B1029&lt;'111'!$L$11),"x","")</f>
        <v/>
      </c>
      <c r="S1029" s="47" t="str">
        <f>IF(AND($O1029=$Q$7,$B1029&lt;'111'!$L$11),"x","")</f>
        <v/>
      </c>
    </row>
    <row r="1030" spans="1:19" ht="15.75" customHeight="1">
      <c r="A1030" s="152" t="str">
        <f>IF(B1030&lt;&gt;"",IF(AND(B1030='IN-TC'!$S$4,OR(TH!N1030="1111",TH!O1030="1111")),TH!D1030,""),"")</f>
        <v/>
      </c>
      <c r="B1030" s="34">
        <f t="shared" si="34"/>
        <v>7</v>
      </c>
      <c r="C1030" s="35">
        <f t="shared" si="35"/>
        <v>42554</v>
      </c>
      <c r="D1030" s="212"/>
      <c r="E1030" s="35">
        <v>42554</v>
      </c>
      <c r="F1030" s="144" t="s">
        <v>1472</v>
      </c>
      <c r="G1030" s="191"/>
      <c r="H1030" s="198" t="s">
        <v>821</v>
      </c>
      <c r="I1030" s="186">
        <v>1576</v>
      </c>
      <c r="J1030" s="186">
        <v>19000</v>
      </c>
      <c r="K1030" s="185"/>
      <c r="L1030" s="186"/>
      <c r="M1030" s="36">
        <f>ROUND(I1030*J1030,-3)</f>
        <v>29944000</v>
      </c>
      <c r="N1030" s="37" t="s">
        <v>1443</v>
      </c>
      <c r="O1030" s="37" t="s">
        <v>8</v>
      </c>
      <c r="P1030" s="47" t="str">
        <f>IF(AND('331-CT'!$F$5=TH!H1030,OR(N1030="331",O1030="331")),"x","")</f>
        <v/>
      </c>
      <c r="Q1030" s="47" t="str">
        <f>IF(AND(B1030='111'!$L$11,OR($N1030=$Q$7,$O1030=$Q$7)),"x","")</f>
        <v/>
      </c>
      <c r="R1030" s="47" t="str">
        <f>IF(AND($N1030=$Q$7,$B1030&lt;'111'!$L$11),"x","")</f>
        <v/>
      </c>
      <c r="S1030" s="47" t="str">
        <f>IF(AND($O1030=$Q$7,$B1030&lt;'111'!$L$11),"x","")</f>
        <v/>
      </c>
    </row>
    <row r="1031" spans="1:19" ht="15.75" customHeight="1">
      <c r="A1031" s="152" t="str">
        <f>IF(B1031&lt;&gt;"",IF(AND(B1031='IN-TC'!$S$4,OR(TH!N1031="1111",TH!O1031="1111")),TH!D1031,""),"")</f>
        <v/>
      </c>
      <c r="B1031" s="34">
        <f t="shared" si="34"/>
        <v>7</v>
      </c>
      <c r="C1031" s="35">
        <f t="shared" si="35"/>
        <v>42554</v>
      </c>
      <c r="D1031" s="212"/>
      <c r="E1031" s="35">
        <v>42554</v>
      </c>
      <c r="F1031" s="144" t="s">
        <v>1469</v>
      </c>
      <c r="G1031" s="191" t="s">
        <v>204</v>
      </c>
      <c r="H1031" s="198" t="s">
        <v>828</v>
      </c>
      <c r="I1031" s="186">
        <v>2301</v>
      </c>
      <c r="J1031" s="186">
        <v>26000</v>
      </c>
      <c r="K1031" s="185"/>
      <c r="L1031" s="186"/>
      <c r="M1031" s="36">
        <f>ROUND(I1031*J1031,-3)+234000</f>
        <v>60060000</v>
      </c>
      <c r="N1031" s="37" t="s">
        <v>1443</v>
      </c>
      <c r="O1031" s="37" t="s">
        <v>8</v>
      </c>
      <c r="P1031" s="47" t="str">
        <f>IF(AND('331-CT'!$F$5=TH!H1031,OR(N1031="331",O1031="331")),"x","")</f>
        <v/>
      </c>
      <c r="Q1031" s="47" t="str">
        <f>IF(AND(B1031='111'!$L$11,OR($N1031=$Q$7,$O1031=$Q$7)),"x","")</f>
        <v/>
      </c>
      <c r="R1031" s="47" t="str">
        <f>IF(AND($N1031=$Q$7,$B1031&lt;'111'!$L$11),"x","")</f>
        <v/>
      </c>
      <c r="S1031" s="47" t="str">
        <f>IF(AND($O1031=$Q$7,$B1031&lt;'111'!$L$11),"x","")</f>
        <v/>
      </c>
    </row>
    <row r="1032" spans="1:19" ht="15.75" customHeight="1">
      <c r="A1032" s="152" t="str">
        <f>IF(B1032&lt;&gt;"",IF(AND(B1032='IN-TC'!$S$4,OR(TH!N1032="1111",TH!O1032="1111")),TH!D1032,""),"")</f>
        <v/>
      </c>
      <c r="B1032" s="34">
        <f t="shared" si="34"/>
        <v>7</v>
      </c>
      <c r="C1032" s="35">
        <f t="shared" si="35"/>
        <v>42554</v>
      </c>
      <c r="D1032" s="212"/>
      <c r="E1032" s="35">
        <v>42554</v>
      </c>
      <c r="F1032" s="144" t="s">
        <v>1495</v>
      </c>
      <c r="G1032" s="191" t="s">
        <v>204</v>
      </c>
      <c r="H1032" s="198" t="s">
        <v>828</v>
      </c>
      <c r="I1032" s="186">
        <v>2</v>
      </c>
      <c r="J1032" s="186">
        <v>15000</v>
      </c>
      <c r="K1032" s="185"/>
      <c r="L1032" s="186"/>
      <c r="M1032" s="36">
        <f>ROUND(I1032*J1032,-3)</f>
        <v>30000</v>
      </c>
      <c r="N1032" s="37" t="s">
        <v>1443</v>
      </c>
      <c r="O1032" s="37" t="s">
        <v>8</v>
      </c>
      <c r="P1032" s="47" t="str">
        <f>IF(AND('331-CT'!$F$5=TH!H1032,OR(N1032="331",O1032="331")),"x","")</f>
        <v/>
      </c>
      <c r="Q1032" s="47" t="str">
        <f>IF(AND(B1032='111'!$L$11,OR($N1032=$Q$7,$O1032=$Q$7)),"x","")</f>
        <v/>
      </c>
      <c r="R1032" s="47" t="str">
        <f>IF(AND($N1032=$Q$7,$B1032&lt;'111'!$L$11),"x","")</f>
        <v/>
      </c>
      <c r="S1032" s="47" t="str">
        <f>IF(AND($O1032=$Q$7,$B1032&lt;'111'!$L$11),"x","")</f>
        <v/>
      </c>
    </row>
    <row r="1033" spans="1:19" ht="15.75" customHeight="1">
      <c r="A1033" s="152" t="str">
        <f>IF(B1033&lt;&gt;"",IF(AND(B1033='IN-TC'!$S$4,OR(TH!N1033="1111",TH!O1033="1111")),TH!D1033,""),"")</f>
        <v/>
      </c>
      <c r="B1033" s="34">
        <f t="shared" si="34"/>
        <v>7</v>
      </c>
      <c r="C1033" s="35">
        <f t="shared" si="35"/>
        <v>42555</v>
      </c>
      <c r="D1033" s="212" t="s">
        <v>871</v>
      </c>
      <c r="E1033" s="35">
        <v>42555</v>
      </c>
      <c r="F1033" s="144" t="s">
        <v>499</v>
      </c>
      <c r="G1033" s="191" t="s">
        <v>220</v>
      </c>
      <c r="H1033" s="198"/>
      <c r="I1033" s="186"/>
      <c r="J1033" s="186"/>
      <c r="K1033" s="185"/>
      <c r="L1033" s="186"/>
      <c r="M1033" s="36">
        <v>44927000</v>
      </c>
      <c r="N1033" s="37"/>
      <c r="O1033" s="37" t="s">
        <v>34</v>
      </c>
      <c r="P1033" s="47" t="str">
        <f>IF(AND('331-CT'!$F$5=TH!H1033,OR(N1033="331",O1033="331")),"x","")</f>
        <v/>
      </c>
      <c r="Q1033" s="47" t="str">
        <f>IF(AND(B1033='111'!$L$11,OR($N1033=$Q$7,$O1033=$Q$7)),"x","")</f>
        <v/>
      </c>
      <c r="R1033" s="47" t="str">
        <f>IF(AND($N1033=$Q$7,$B1033&lt;'111'!$L$11),"x","")</f>
        <v/>
      </c>
      <c r="S1033" s="47" t="str">
        <f>IF(AND($O1033=$Q$7,$B1033&lt;'111'!$L$11),"x","")</f>
        <v>x</v>
      </c>
    </row>
    <row r="1034" spans="1:19" ht="15.75" customHeight="1">
      <c r="A1034" s="152" t="str">
        <f>IF(B1034&lt;&gt;"",IF(AND(B1034='IN-TC'!$S$4,OR(TH!N1034="1111",TH!O1034="1111")),TH!D1034,""),"")</f>
        <v/>
      </c>
      <c r="B1034" s="34">
        <f t="shared" si="34"/>
        <v>7</v>
      </c>
      <c r="C1034" s="35">
        <f t="shared" si="35"/>
        <v>42555</v>
      </c>
      <c r="D1034" s="212" t="s">
        <v>872</v>
      </c>
      <c r="E1034" s="35">
        <v>42555</v>
      </c>
      <c r="F1034" s="144" t="s">
        <v>788</v>
      </c>
      <c r="G1034" s="191" t="s">
        <v>206</v>
      </c>
      <c r="H1034" s="198" t="s">
        <v>844</v>
      </c>
      <c r="I1034" s="186"/>
      <c r="J1034" s="186"/>
      <c r="K1034" s="185"/>
      <c r="L1034" s="186"/>
      <c r="M1034" s="36">
        <v>100000000</v>
      </c>
      <c r="N1034" s="37" t="s">
        <v>8</v>
      </c>
      <c r="O1034" s="37" t="s">
        <v>34</v>
      </c>
      <c r="P1034" s="47" t="str">
        <f>IF(AND('331-CT'!$F$5=TH!H1034,OR(N1034="331",O1034="331")),"x","")</f>
        <v/>
      </c>
      <c r="Q1034" s="47" t="str">
        <f>IF(AND(B1034='111'!$L$11,OR($N1034=$Q$7,$O1034=$Q$7)),"x","")</f>
        <v/>
      </c>
      <c r="R1034" s="47" t="str">
        <f>IF(AND($N1034=$Q$7,$B1034&lt;'111'!$L$11),"x","")</f>
        <v/>
      </c>
      <c r="S1034" s="47" t="str">
        <f>IF(AND($O1034=$Q$7,$B1034&lt;'111'!$L$11),"x","")</f>
        <v>x</v>
      </c>
    </row>
    <row r="1035" spans="1:19" ht="15.75" customHeight="1">
      <c r="A1035" s="152" t="str">
        <f>IF(B1035&lt;&gt;"",IF(AND(B1035='IN-TC'!$S$4,OR(TH!N1035="1111",TH!O1035="1111")),TH!D1035,""),"")</f>
        <v/>
      </c>
      <c r="B1035" s="34">
        <f t="shared" si="34"/>
        <v>7</v>
      </c>
      <c r="C1035" s="35">
        <f t="shared" si="35"/>
        <v>42555</v>
      </c>
      <c r="D1035" s="212" t="s">
        <v>873</v>
      </c>
      <c r="E1035" s="35">
        <v>42555</v>
      </c>
      <c r="F1035" s="144" t="s">
        <v>244</v>
      </c>
      <c r="G1035" s="191" t="s">
        <v>206</v>
      </c>
      <c r="H1035" s="198" t="s">
        <v>828</v>
      </c>
      <c r="I1035" s="186"/>
      <c r="J1035" s="186"/>
      <c r="K1035" s="185"/>
      <c r="L1035" s="186"/>
      <c r="M1035" s="36">
        <v>63779000</v>
      </c>
      <c r="N1035" s="37" t="s">
        <v>8</v>
      </c>
      <c r="O1035" s="37" t="s">
        <v>34</v>
      </c>
      <c r="P1035" s="47" t="str">
        <f>IF(AND('331-CT'!$F$5=TH!H1035,OR(N1035="331",O1035="331")),"x","")</f>
        <v/>
      </c>
      <c r="Q1035" s="47" t="str">
        <f>IF(AND(B1035='111'!$L$11,OR($N1035=$Q$7,$O1035=$Q$7)),"x","")</f>
        <v/>
      </c>
      <c r="R1035" s="47" t="str">
        <f>IF(AND($N1035=$Q$7,$B1035&lt;'111'!$L$11),"x","")</f>
        <v/>
      </c>
      <c r="S1035" s="47" t="str">
        <f>IF(AND($O1035=$Q$7,$B1035&lt;'111'!$L$11),"x","")</f>
        <v>x</v>
      </c>
    </row>
    <row r="1036" spans="1:19" ht="15.75" customHeight="1">
      <c r="A1036" s="152" t="str">
        <f>IF(B1036&lt;&gt;"",IF(AND(B1036='IN-TC'!$S$4,OR(TH!N1036="1111",TH!O1036="1111")),TH!D1036,""),"")</f>
        <v/>
      </c>
      <c r="B1036" s="34">
        <f t="shared" si="34"/>
        <v>7</v>
      </c>
      <c r="C1036" s="35">
        <f t="shared" si="35"/>
        <v>42555</v>
      </c>
      <c r="D1036" s="212" t="s">
        <v>874</v>
      </c>
      <c r="E1036" s="35">
        <v>42555</v>
      </c>
      <c r="F1036" s="144" t="s">
        <v>1383</v>
      </c>
      <c r="G1036" s="191" t="s">
        <v>203</v>
      </c>
      <c r="H1036" s="198" t="s">
        <v>1438</v>
      </c>
      <c r="I1036" s="186"/>
      <c r="J1036" s="186"/>
      <c r="K1036" s="185"/>
      <c r="L1036" s="186"/>
      <c r="M1036" s="36">
        <v>6017000</v>
      </c>
      <c r="N1036" s="37" t="s">
        <v>814</v>
      </c>
      <c r="O1036" s="37" t="s">
        <v>34</v>
      </c>
      <c r="P1036" s="47" t="str">
        <f>IF(AND('331-CT'!$F$5=TH!H1036,OR(N1036="331",O1036="331")),"x","")</f>
        <v/>
      </c>
      <c r="Q1036" s="47" t="str">
        <f>IF(AND(B1036='111'!$L$11,OR($N1036=$Q$7,$O1036=$Q$7)),"x","")</f>
        <v/>
      </c>
      <c r="R1036" s="47" t="str">
        <f>IF(AND($N1036=$Q$7,$B1036&lt;'111'!$L$11),"x","")</f>
        <v/>
      </c>
      <c r="S1036" s="47" t="str">
        <f>IF(AND($O1036=$Q$7,$B1036&lt;'111'!$L$11),"x","")</f>
        <v>x</v>
      </c>
    </row>
    <row r="1037" spans="1:19" ht="15.75" customHeight="1">
      <c r="A1037" s="152" t="str">
        <f>IF(B1037&lt;&gt;"",IF(AND(B1037='IN-TC'!$S$4,OR(TH!N1037="1111",TH!O1037="1111")),TH!D1037,""),"")</f>
        <v/>
      </c>
      <c r="B1037" s="34">
        <f t="shared" ref="B1037:B1100" si="36">IF(C1037&lt;&gt;"",MONTH(C1037),"")</f>
        <v>7</v>
      </c>
      <c r="C1037" s="35">
        <f t="shared" ref="C1037:C1100" si="37">E1037</f>
        <v>42555</v>
      </c>
      <c r="D1037" s="212" t="s">
        <v>875</v>
      </c>
      <c r="E1037" s="35">
        <v>42555</v>
      </c>
      <c r="F1037" s="144" t="s">
        <v>789</v>
      </c>
      <c r="G1037" s="191" t="s">
        <v>230</v>
      </c>
      <c r="H1037" s="198"/>
      <c r="I1037" s="186"/>
      <c r="J1037" s="186"/>
      <c r="K1037" s="185"/>
      <c r="L1037" s="186"/>
      <c r="M1037" s="36">
        <v>970000</v>
      </c>
      <c r="N1037" s="37"/>
      <c r="O1037" s="37" t="s">
        <v>34</v>
      </c>
      <c r="P1037" s="47" t="str">
        <f>IF(AND('331-CT'!$F$5=TH!H1037,OR(N1037="331",O1037="331")),"x","")</f>
        <v/>
      </c>
      <c r="Q1037" s="47" t="str">
        <f>IF(AND(B1037='111'!$L$11,OR($N1037=$Q$7,$O1037=$Q$7)),"x","")</f>
        <v/>
      </c>
      <c r="R1037" s="47" t="str">
        <f>IF(AND($N1037=$Q$7,$B1037&lt;'111'!$L$11),"x","")</f>
        <v/>
      </c>
      <c r="S1037" s="47" t="str">
        <f>IF(AND($O1037=$Q$7,$B1037&lt;'111'!$L$11),"x","")</f>
        <v>x</v>
      </c>
    </row>
    <row r="1038" spans="1:19" ht="15.75" customHeight="1">
      <c r="A1038" s="152" t="str">
        <f>IF(B1038&lt;&gt;"",IF(AND(B1038='IN-TC'!$S$4,OR(TH!N1038="1111",TH!O1038="1111")),TH!D1038,""),"")</f>
        <v/>
      </c>
      <c r="B1038" s="34">
        <f t="shared" si="36"/>
        <v>7</v>
      </c>
      <c r="C1038" s="35">
        <f t="shared" si="37"/>
        <v>42555</v>
      </c>
      <c r="D1038" s="212" t="s">
        <v>876</v>
      </c>
      <c r="E1038" s="35">
        <v>42555</v>
      </c>
      <c r="F1038" s="144" t="s">
        <v>790</v>
      </c>
      <c r="G1038" s="191" t="s">
        <v>205</v>
      </c>
      <c r="H1038" s="198"/>
      <c r="I1038" s="186"/>
      <c r="J1038" s="186"/>
      <c r="K1038" s="185"/>
      <c r="L1038" s="186"/>
      <c r="M1038" s="36">
        <v>620000</v>
      </c>
      <c r="N1038" s="37"/>
      <c r="O1038" s="37" t="s">
        <v>34</v>
      </c>
      <c r="P1038" s="47" t="str">
        <f>IF(AND('331-CT'!$F$5=TH!H1038,OR(N1038="331",O1038="331")),"x","")</f>
        <v/>
      </c>
      <c r="Q1038" s="47" t="str">
        <f>IF(AND(B1038='111'!$L$11,OR($N1038=$Q$7,$O1038=$Q$7)),"x","")</f>
        <v/>
      </c>
      <c r="R1038" s="47" t="str">
        <f>IF(AND($N1038=$Q$7,$B1038&lt;'111'!$L$11),"x","")</f>
        <v/>
      </c>
      <c r="S1038" s="47" t="str">
        <f>IF(AND($O1038=$Q$7,$B1038&lt;'111'!$L$11),"x","")</f>
        <v>x</v>
      </c>
    </row>
    <row r="1039" spans="1:19" ht="15.75" customHeight="1">
      <c r="A1039" s="152" t="str">
        <f>IF(B1039&lt;&gt;"",IF(AND(B1039='IN-TC'!$S$4,OR(TH!N1039="1111",TH!O1039="1111")),TH!D1039,""),"")</f>
        <v/>
      </c>
      <c r="B1039" s="34">
        <f t="shared" si="36"/>
        <v>7</v>
      </c>
      <c r="C1039" s="35">
        <f t="shared" si="37"/>
        <v>42555</v>
      </c>
      <c r="D1039" s="212" t="s">
        <v>877</v>
      </c>
      <c r="E1039" s="35">
        <v>42555</v>
      </c>
      <c r="F1039" s="144" t="s">
        <v>791</v>
      </c>
      <c r="G1039" s="191" t="s">
        <v>230</v>
      </c>
      <c r="H1039" s="198"/>
      <c r="I1039" s="186"/>
      <c r="J1039" s="186"/>
      <c r="K1039" s="185"/>
      <c r="L1039" s="186"/>
      <c r="M1039" s="36">
        <v>404000</v>
      </c>
      <c r="N1039" s="37"/>
      <c r="O1039" s="37" t="s">
        <v>34</v>
      </c>
      <c r="P1039" s="47" t="str">
        <f>IF(AND('331-CT'!$F$5=TH!H1039,OR(N1039="331",O1039="331")),"x","")</f>
        <v/>
      </c>
      <c r="Q1039" s="47" t="str">
        <f>IF(AND(B1039='111'!$L$11,OR($N1039=$Q$7,$O1039=$Q$7)),"x","")</f>
        <v/>
      </c>
      <c r="R1039" s="47" t="str">
        <f>IF(AND($N1039=$Q$7,$B1039&lt;'111'!$L$11),"x","")</f>
        <v/>
      </c>
      <c r="S1039" s="47" t="str">
        <f>IF(AND($O1039=$Q$7,$B1039&lt;'111'!$L$11),"x","")</f>
        <v>x</v>
      </c>
    </row>
    <row r="1040" spans="1:19" ht="15.75" customHeight="1">
      <c r="A1040" s="152" t="str">
        <f>IF(B1040&lt;&gt;"",IF(AND(B1040='IN-TC'!$S$4,OR(TH!N1040="1111",TH!O1040="1111")),TH!D1040,""),"")</f>
        <v/>
      </c>
      <c r="B1040" s="34">
        <f t="shared" si="36"/>
        <v>7</v>
      </c>
      <c r="C1040" s="35">
        <f t="shared" si="37"/>
        <v>42555</v>
      </c>
      <c r="D1040" s="212" t="s">
        <v>878</v>
      </c>
      <c r="E1040" s="35">
        <v>42555</v>
      </c>
      <c r="F1040" s="144" t="s">
        <v>1475</v>
      </c>
      <c r="G1040" s="191" t="s">
        <v>206</v>
      </c>
      <c r="H1040" s="198" t="s">
        <v>843</v>
      </c>
      <c r="I1040" s="186"/>
      <c r="J1040" s="186"/>
      <c r="K1040" s="185"/>
      <c r="L1040" s="186"/>
      <c r="M1040" s="36">
        <v>62550000</v>
      </c>
      <c r="N1040" s="37" t="s">
        <v>8</v>
      </c>
      <c r="O1040" s="37" t="s">
        <v>34</v>
      </c>
      <c r="P1040" s="47" t="str">
        <f>IF(AND('331-CT'!$F$5=TH!H1040,OR(N1040="331",O1040="331")),"x","")</f>
        <v/>
      </c>
      <c r="Q1040" s="47" t="str">
        <f>IF(AND(B1040='111'!$L$11,OR($N1040=$Q$7,$O1040=$Q$7)),"x","")</f>
        <v/>
      </c>
      <c r="R1040" s="47" t="str">
        <f>IF(AND($N1040=$Q$7,$B1040&lt;'111'!$L$11),"x","")</f>
        <v/>
      </c>
      <c r="S1040" s="47" t="str">
        <f>IF(AND($O1040=$Q$7,$B1040&lt;'111'!$L$11),"x","")</f>
        <v>x</v>
      </c>
    </row>
    <row r="1041" spans="1:19" ht="15.75" customHeight="1">
      <c r="A1041" s="152" t="str">
        <f>IF(B1041&lt;&gt;"",IF(AND(B1041='IN-TC'!$S$4,OR(TH!N1041="1111",TH!O1041="1111")),TH!D1041,""),"")</f>
        <v/>
      </c>
      <c r="B1041" s="34">
        <f t="shared" si="36"/>
        <v>7</v>
      </c>
      <c r="C1041" s="35">
        <f t="shared" si="37"/>
        <v>42555</v>
      </c>
      <c r="D1041" s="212" t="s">
        <v>878</v>
      </c>
      <c r="E1041" s="35">
        <v>42555</v>
      </c>
      <c r="F1041" s="144" t="s">
        <v>1424</v>
      </c>
      <c r="G1041" s="191"/>
      <c r="H1041" s="198"/>
      <c r="I1041" s="186"/>
      <c r="J1041" s="186"/>
      <c r="K1041" s="185"/>
      <c r="L1041" s="186"/>
      <c r="M1041" s="36">
        <v>19000</v>
      </c>
      <c r="N1041" s="37" t="s">
        <v>1425</v>
      </c>
      <c r="O1041" s="37" t="s">
        <v>34</v>
      </c>
      <c r="P1041" s="47" t="str">
        <f>IF(AND('331-CT'!$F$5=TH!H1041,OR(N1041="331",O1041="331")),"x","")</f>
        <v/>
      </c>
      <c r="Q1041" s="47" t="str">
        <f>IF(AND(B1041='111'!$L$11,OR($N1041=$Q$7,$O1041=$Q$7)),"x","")</f>
        <v/>
      </c>
      <c r="R1041" s="47" t="str">
        <f>IF(AND($N1041=$Q$7,$B1041&lt;'111'!$L$11),"x","")</f>
        <v/>
      </c>
      <c r="S1041" s="47" t="str">
        <f>IF(AND($O1041=$Q$7,$B1041&lt;'111'!$L$11),"x","")</f>
        <v>x</v>
      </c>
    </row>
    <row r="1042" spans="1:19" ht="15.75" customHeight="1">
      <c r="A1042" s="152" t="str">
        <f>IF(B1042&lt;&gt;"",IF(AND(B1042='IN-TC'!$S$4,OR(TH!N1042="1111",TH!O1042="1111")),TH!D1042,""),"")</f>
        <v/>
      </c>
      <c r="B1042" s="34">
        <f t="shared" si="36"/>
        <v>7</v>
      </c>
      <c r="C1042" s="35">
        <f t="shared" si="37"/>
        <v>42555</v>
      </c>
      <c r="D1042" s="212" t="s">
        <v>879</v>
      </c>
      <c r="E1042" s="35">
        <v>42555</v>
      </c>
      <c r="F1042" s="144" t="s">
        <v>634</v>
      </c>
      <c r="G1042" s="191" t="s">
        <v>206</v>
      </c>
      <c r="H1042" s="198" t="s">
        <v>837</v>
      </c>
      <c r="I1042" s="186"/>
      <c r="J1042" s="186"/>
      <c r="K1042" s="185"/>
      <c r="L1042" s="186"/>
      <c r="M1042" s="36">
        <v>121505000</v>
      </c>
      <c r="N1042" s="37" t="s">
        <v>8</v>
      </c>
      <c r="O1042" s="37" t="s">
        <v>34</v>
      </c>
      <c r="P1042" s="47" t="str">
        <f>IF(AND('331-CT'!$F$5=TH!H1042,OR(N1042="331",O1042="331")),"x","")</f>
        <v/>
      </c>
      <c r="Q1042" s="47" t="str">
        <f>IF(AND(B1042='111'!$L$11,OR($N1042=$Q$7,$O1042=$Q$7)),"x","")</f>
        <v/>
      </c>
      <c r="R1042" s="47" t="str">
        <f>IF(AND($N1042=$Q$7,$B1042&lt;'111'!$L$11),"x","")</f>
        <v/>
      </c>
      <c r="S1042" s="47" t="str">
        <f>IF(AND($O1042=$Q$7,$B1042&lt;'111'!$L$11),"x","")</f>
        <v>x</v>
      </c>
    </row>
    <row r="1043" spans="1:19" ht="15.75" customHeight="1">
      <c r="A1043" s="152" t="str">
        <f>IF(B1043&lt;&gt;"",IF(AND(B1043='IN-TC'!$S$4,OR(TH!N1043="1111",TH!O1043="1111")),TH!D1043,""),"")</f>
        <v/>
      </c>
      <c r="B1043" s="34">
        <f t="shared" si="36"/>
        <v>7</v>
      </c>
      <c r="C1043" s="35">
        <f t="shared" si="37"/>
        <v>42555</v>
      </c>
      <c r="D1043" s="212" t="s">
        <v>880</v>
      </c>
      <c r="E1043" s="35">
        <v>42555</v>
      </c>
      <c r="F1043" s="144" t="s">
        <v>792</v>
      </c>
      <c r="G1043" s="191" t="s">
        <v>202</v>
      </c>
      <c r="H1043" s="198"/>
      <c r="I1043" s="186"/>
      <c r="J1043" s="186"/>
      <c r="K1043" s="185"/>
      <c r="L1043" s="186"/>
      <c r="M1043" s="36">
        <v>20022000</v>
      </c>
      <c r="N1043" s="37"/>
      <c r="O1043" s="37" t="s">
        <v>34</v>
      </c>
      <c r="P1043" s="47" t="str">
        <f>IF(AND('331-CT'!$F$5=TH!H1043,OR(N1043="331",O1043="331")),"x","")</f>
        <v/>
      </c>
      <c r="Q1043" s="47" t="str">
        <f>IF(AND(B1043='111'!$L$11,OR($N1043=$Q$7,$O1043=$Q$7)),"x","")</f>
        <v/>
      </c>
      <c r="R1043" s="47" t="str">
        <f>IF(AND($N1043=$Q$7,$B1043&lt;'111'!$L$11),"x","")</f>
        <v/>
      </c>
      <c r="S1043" s="47" t="str">
        <f>IF(AND($O1043=$Q$7,$B1043&lt;'111'!$L$11),"x","")</f>
        <v>x</v>
      </c>
    </row>
    <row r="1044" spans="1:19" ht="15.75" customHeight="1">
      <c r="A1044" s="152" t="str">
        <f>IF(B1044&lt;&gt;"",IF(AND(B1044='IN-TC'!$S$4,OR(TH!N1044="1111",TH!O1044="1111")),TH!D1044,""),"")</f>
        <v/>
      </c>
      <c r="B1044" s="34">
        <f t="shared" si="36"/>
        <v>7</v>
      </c>
      <c r="C1044" s="35">
        <f t="shared" si="37"/>
        <v>42555</v>
      </c>
      <c r="D1044" s="212" t="s">
        <v>881</v>
      </c>
      <c r="E1044" s="35">
        <v>42555</v>
      </c>
      <c r="F1044" s="144" t="s">
        <v>793</v>
      </c>
      <c r="G1044" s="191" t="s">
        <v>202</v>
      </c>
      <c r="H1044" s="198"/>
      <c r="I1044" s="186"/>
      <c r="J1044" s="186"/>
      <c r="K1044" s="185"/>
      <c r="L1044" s="186"/>
      <c r="M1044" s="36">
        <v>15500000</v>
      </c>
      <c r="N1044" s="37"/>
      <c r="O1044" s="37" t="s">
        <v>34</v>
      </c>
      <c r="P1044" s="47" t="str">
        <f>IF(AND('331-CT'!$F$5=TH!H1044,OR(N1044="331",O1044="331")),"x","")</f>
        <v/>
      </c>
      <c r="Q1044" s="47" t="str">
        <f>IF(AND(B1044='111'!$L$11,OR($N1044=$Q$7,$O1044=$Q$7)),"x","")</f>
        <v/>
      </c>
      <c r="R1044" s="47" t="str">
        <f>IF(AND($N1044=$Q$7,$B1044&lt;'111'!$L$11),"x","")</f>
        <v/>
      </c>
      <c r="S1044" s="47" t="str">
        <f>IF(AND($O1044=$Q$7,$B1044&lt;'111'!$L$11),"x","")</f>
        <v>x</v>
      </c>
    </row>
    <row r="1045" spans="1:19" ht="15.75" customHeight="1">
      <c r="A1045" s="152" t="str">
        <f>IF(B1045&lt;&gt;"",IF(AND(B1045='IN-TC'!$S$4,OR(TH!N1045="1111",TH!O1045="1111")),TH!D1045,""),"")</f>
        <v/>
      </c>
      <c r="B1045" s="34">
        <f t="shared" si="36"/>
        <v>7</v>
      </c>
      <c r="C1045" s="35">
        <f t="shared" si="37"/>
        <v>42555</v>
      </c>
      <c r="D1045" s="212" t="s">
        <v>882</v>
      </c>
      <c r="E1045" s="35">
        <v>42555</v>
      </c>
      <c r="F1045" s="144" t="s">
        <v>533</v>
      </c>
      <c r="G1045" s="191" t="s">
        <v>215</v>
      </c>
      <c r="H1045" s="198"/>
      <c r="I1045" s="186"/>
      <c r="J1045" s="186"/>
      <c r="K1045" s="185"/>
      <c r="L1045" s="186"/>
      <c r="M1045" s="36">
        <v>8000000</v>
      </c>
      <c r="N1045" s="37"/>
      <c r="O1045" s="37" t="s">
        <v>34</v>
      </c>
      <c r="P1045" s="47" t="str">
        <f>IF(AND('331-CT'!$F$5=TH!H1045,OR(N1045="331",O1045="331")),"x","")</f>
        <v/>
      </c>
      <c r="Q1045" s="47" t="str">
        <f>IF(AND(B1045='111'!$L$11,OR($N1045=$Q$7,$O1045=$Q$7)),"x","")</f>
        <v/>
      </c>
      <c r="R1045" s="47" t="str">
        <f>IF(AND($N1045=$Q$7,$B1045&lt;'111'!$L$11),"x","")</f>
        <v/>
      </c>
      <c r="S1045" s="47" t="str">
        <f>IF(AND($O1045=$Q$7,$B1045&lt;'111'!$L$11),"x","")</f>
        <v>x</v>
      </c>
    </row>
    <row r="1046" spans="1:19" ht="15.75" customHeight="1">
      <c r="A1046" s="152" t="str">
        <f>IF(B1046&lt;&gt;"",IF(AND(B1046='IN-TC'!$S$4,OR(TH!N1046="1111",TH!O1046="1111")),TH!D1046,""),"")</f>
        <v/>
      </c>
      <c r="B1046" s="34">
        <f t="shared" si="36"/>
        <v>7</v>
      </c>
      <c r="C1046" s="35">
        <f t="shared" si="37"/>
        <v>42555</v>
      </c>
      <c r="D1046" s="212" t="s">
        <v>883</v>
      </c>
      <c r="E1046" s="35">
        <v>42555</v>
      </c>
      <c r="F1046" s="144" t="s">
        <v>721</v>
      </c>
      <c r="G1046" s="191" t="s">
        <v>206</v>
      </c>
      <c r="H1046" s="198" t="s">
        <v>817</v>
      </c>
      <c r="I1046" s="186"/>
      <c r="J1046" s="186"/>
      <c r="K1046" s="185"/>
      <c r="L1046" s="186"/>
      <c r="M1046" s="36">
        <v>75594000</v>
      </c>
      <c r="N1046" s="37" t="s">
        <v>8</v>
      </c>
      <c r="O1046" s="37" t="s">
        <v>34</v>
      </c>
      <c r="P1046" s="47" t="str">
        <f>IF(AND('331-CT'!$F$5=TH!H1046,OR(N1046="331",O1046="331")),"x","")</f>
        <v/>
      </c>
      <c r="Q1046" s="47" t="str">
        <f>IF(AND(B1046='111'!$L$11,OR($N1046=$Q$7,$O1046=$Q$7)),"x","")</f>
        <v/>
      </c>
      <c r="R1046" s="47" t="str">
        <f>IF(AND($N1046=$Q$7,$B1046&lt;'111'!$L$11),"x","")</f>
        <v/>
      </c>
      <c r="S1046" s="47" t="str">
        <f>IF(AND($O1046=$Q$7,$B1046&lt;'111'!$L$11),"x","")</f>
        <v>x</v>
      </c>
    </row>
    <row r="1047" spans="1:19" ht="15.75" customHeight="1">
      <c r="A1047" s="152" t="str">
        <f>IF(B1047&lt;&gt;"",IF(AND(B1047='IN-TC'!$S$4,OR(TH!N1047="1111",TH!O1047="1111")),TH!D1047,""),"")</f>
        <v/>
      </c>
      <c r="B1047" s="34">
        <f t="shared" si="36"/>
        <v>7</v>
      </c>
      <c r="C1047" s="35">
        <f t="shared" si="37"/>
        <v>42555</v>
      </c>
      <c r="D1047" s="212"/>
      <c r="E1047" s="35">
        <v>42555</v>
      </c>
      <c r="F1047" s="144" t="s">
        <v>1446</v>
      </c>
      <c r="G1047" s="191" t="s">
        <v>1454</v>
      </c>
      <c r="H1047" s="198" t="s">
        <v>849</v>
      </c>
      <c r="I1047" s="186">
        <v>90</v>
      </c>
      <c r="J1047" s="186">
        <v>60000</v>
      </c>
      <c r="K1047" s="185"/>
      <c r="L1047" s="186"/>
      <c r="M1047" s="36">
        <f>ROUND(I1047*J1047,0)</f>
        <v>5400000</v>
      </c>
      <c r="N1047" s="37" t="s">
        <v>1443</v>
      </c>
      <c r="O1047" s="37" t="s">
        <v>8</v>
      </c>
      <c r="P1047" s="47" t="str">
        <f>IF(AND('331-CT'!$F$5=TH!H1047,OR(N1047="331",O1047="331")),"x","")</f>
        <v/>
      </c>
      <c r="Q1047" s="47" t="str">
        <f>IF(AND(B1047='111'!$L$11,OR($N1047=$Q$7,$O1047=$Q$7)),"x","")</f>
        <v/>
      </c>
      <c r="R1047" s="47" t="str">
        <f>IF(AND($N1047=$Q$7,$B1047&lt;'111'!$L$11),"x","")</f>
        <v/>
      </c>
      <c r="S1047" s="47" t="str">
        <f>IF(AND($O1047=$Q$7,$B1047&lt;'111'!$L$11),"x","")</f>
        <v/>
      </c>
    </row>
    <row r="1048" spans="1:19" ht="15.75" customHeight="1">
      <c r="A1048" s="152" t="str">
        <f>IF(B1048&lt;&gt;"",IF(AND(B1048='IN-TC'!$S$4,OR(TH!N1048="1111",TH!O1048="1111")),TH!D1048,""),"")</f>
        <v/>
      </c>
      <c r="B1048" s="34">
        <f t="shared" si="36"/>
        <v>7</v>
      </c>
      <c r="C1048" s="35">
        <f t="shared" si="37"/>
        <v>42555</v>
      </c>
      <c r="D1048" s="212"/>
      <c r="E1048" s="35">
        <v>42555</v>
      </c>
      <c r="F1048" s="144" t="s">
        <v>1447</v>
      </c>
      <c r="G1048" s="191"/>
      <c r="H1048" s="198" t="s">
        <v>849</v>
      </c>
      <c r="I1048" s="186">
        <v>260</v>
      </c>
      <c r="J1048" s="186">
        <v>165000</v>
      </c>
      <c r="K1048" s="185"/>
      <c r="L1048" s="186"/>
      <c r="M1048" s="36">
        <f>ROUND(I1048*J1048,0)</f>
        <v>42900000</v>
      </c>
      <c r="N1048" s="37" t="s">
        <v>8</v>
      </c>
      <c r="O1048" s="37" t="s">
        <v>1443</v>
      </c>
      <c r="P1048" s="47" t="str">
        <f>IF(AND('331-CT'!$F$5=TH!H1048,OR(N1048="331",O1048="331")),"x","")</f>
        <v/>
      </c>
      <c r="Q1048" s="47" t="str">
        <f>IF(AND(B1048='111'!$L$11,OR($N1048=$Q$7,$O1048=$Q$7)),"x","")</f>
        <v/>
      </c>
      <c r="R1048" s="47" t="str">
        <f>IF(AND($N1048=$Q$7,$B1048&lt;'111'!$L$11),"x","")</f>
        <v/>
      </c>
      <c r="S1048" s="47" t="str">
        <f>IF(AND($O1048=$Q$7,$B1048&lt;'111'!$L$11),"x","")</f>
        <v/>
      </c>
    </row>
    <row r="1049" spans="1:19" ht="15.75" customHeight="1">
      <c r="A1049" s="152" t="str">
        <f>IF(B1049&lt;&gt;"",IF(AND(B1049='IN-TC'!$S$4,OR(TH!N1049="1111",TH!O1049="1111")),TH!D1049,""),"")</f>
        <v/>
      </c>
      <c r="B1049" s="34">
        <f t="shared" si="36"/>
        <v>7</v>
      </c>
      <c r="C1049" s="35">
        <f t="shared" si="37"/>
        <v>42555</v>
      </c>
      <c r="D1049" s="212"/>
      <c r="E1049" s="35">
        <v>42555</v>
      </c>
      <c r="F1049" s="144" t="s">
        <v>1448</v>
      </c>
      <c r="G1049" s="191"/>
      <c r="H1049" s="198" t="s">
        <v>849</v>
      </c>
      <c r="I1049" s="186">
        <v>9318</v>
      </c>
      <c r="J1049" s="186">
        <v>200</v>
      </c>
      <c r="K1049" s="185"/>
      <c r="L1049" s="186"/>
      <c r="M1049" s="36">
        <f>ROUND(I1049*J1049,0)</f>
        <v>1863600</v>
      </c>
      <c r="N1049" s="37" t="s">
        <v>8</v>
      </c>
      <c r="O1049" s="37" t="s">
        <v>1443</v>
      </c>
      <c r="P1049" s="47" t="str">
        <f>IF(AND('331-CT'!$F$5=TH!H1049,OR(N1049="331",O1049="331")),"x","")</f>
        <v/>
      </c>
      <c r="Q1049" s="47" t="str">
        <f>IF(AND(B1049='111'!$L$11,OR($N1049=$Q$7,$O1049=$Q$7)),"x","")</f>
        <v/>
      </c>
      <c r="R1049" s="47" t="str">
        <f>IF(AND($N1049=$Q$7,$B1049&lt;'111'!$L$11),"x","")</f>
        <v/>
      </c>
      <c r="S1049" s="47" t="str">
        <f>IF(AND($O1049=$Q$7,$B1049&lt;'111'!$L$11),"x","")</f>
        <v/>
      </c>
    </row>
    <row r="1050" spans="1:19" ht="15.75" customHeight="1">
      <c r="A1050" s="152" t="str">
        <f>IF(B1050&lt;&gt;"",IF(AND(B1050='IN-TC'!$S$4,OR(TH!N1050="1111",TH!O1050="1111")),TH!D1050,""),"")</f>
        <v/>
      </c>
      <c r="B1050" s="34">
        <f t="shared" si="36"/>
        <v>7</v>
      </c>
      <c r="C1050" s="35">
        <f t="shared" si="37"/>
        <v>42555</v>
      </c>
      <c r="D1050" s="212"/>
      <c r="E1050" s="35">
        <v>42555</v>
      </c>
      <c r="F1050" s="144" t="s">
        <v>1469</v>
      </c>
      <c r="G1050" s="191"/>
      <c r="H1050" s="198" t="s">
        <v>821</v>
      </c>
      <c r="I1050" s="186">
        <v>2913</v>
      </c>
      <c r="J1050" s="186">
        <v>24000</v>
      </c>
      <c r="K1050" s="185"/>
      <c r="L1050" s="186"/>
      <c r="M1050" s="36">
        <f>ROUND(I1050*J1050,-3)</f>
        <v>69912000</v>
      </c>
      <c r="N1050" s="37" t="s">
        <v>1443</v>
      </c>
      <c r="O1050" s="37" t="s">
        <v>8</v>
      </c>
      <c r="P1050" s="47" t="str">
        <f>IF(AND('331-CT'!$F$5=TH!H1050,OR(N1050="331",O1050="331")),"x","")</f>
        <v/>
      </c>
      <c r="Q1050" s="47" t="str">
        <f>IF(AND(B1050='111'!$L$11,OR($N1050=$Q$7,$O1050=$Q$7)),"x","")</f>
        <v/>
      </c>
      <c r="R1050" s="47" t="str">
        <f>IF(AND($N1050=$Q$7,$B1050&lt;'111'!$L$11),"x","")</f>
        <v/>
      </c>
      <c r="S1050" s="47" t="str">
        <f>IF(AND($O1050=$Q$7,$B1050&lt;'111'!$L$11),"x","")</f>
        <v/>
      </c>
    </row>
    <row r="1051" spans="1:19" ht="15.75" customHeight="1">
      <c r="A1051" s="152" t="str">
        <f>IF(B1051&lt;&gt;"",IF(AND(B1051='IN-TC'!$S$4,OR(TH!N1051="1111",TH!O1051="1111")),TH!D1051,""),"")</f>
        <v/>
      </c>
      <c r="B1051" s="34">
        <f t="shared" si="36"/>
        <v>7</v>
      </c>
      <c r="C1051" s="35">
        <f t="shared" si="37"/>
        <v>42555</v>
      </c>
      <c r="D1051" s="212"/>
      <c r="E1051" s="35">
        <v>42555</v>
      </c>
      <c r="F1051" s="144" t="s">
        <v>1464</v>
      </c>
      <c r="G1051" s="191"/>
      <c r="H1051" s="198" t="s">
        <v>821</v>
      </c>
      <c r="I1051" s="186">
        <v>996</v>
      </c>
      <c r="J1051" s="186">
        <v>21000</v>
      </c>
      <c r="K1051" s="185"/>
      <c r="L1051" s="186"/>
      <c r="M1051" s="36">
        <f>ROUND(I1051*J1051,0)+63000</f>
        <v>20979000</v>
      </c>
      <c r="N1051" s="37" t="s">
        <v>1443</v>
      </c>
      <c r="O1051" s="37" t="s">
        <v>8</v>
      </c>
      <c r="P1051" s="47" t="str">
        <f>IF(AND('331-CT'!$F$5=TH!H1051,OR(N1051="331",O1051="331")),"x","")</f>
        <v/>
      </c>
      <c r="Q1051" s="47" t="str">
        <f>IF(AND(B1051='111'!$L$11,OR($N1051=$Q$7,$O1051=$Q$7)),"x","")</f>
        <v/>
      </c>
      <c r="R1051" s="47" t="str">
        <f>IF(AND($N1051=$Q$7,$B1051&lt;'111'!$L$11),"x","")</f>
        <v/>
      </c>
      <c r="S1051" s="47" t="str">
        <f>IF(AND($O1051=$Q$7,$B1051&lt;'111'!$L$11),"x","")</f>
        <v/>
      </c>
    </row>
    <row r="1052" spans="1:19" ht="15.75" customHeight="1">
      <c r="A1052" s="152" t="str">
        <f>IF(B1052&lt;&gt;"",IF(AND(B1052='IN-TC'!$S$4,OR(TH!N1052="1111",TH!O1052="1111")),TH!D1052,""),"")</f>
        <v/>
      </c>
      <c r="B1052" s="34">
        <f t="shared" si="36"/>
        <v>7</v>
      </c>
      <c r="C1052" s="35">
        <f t="shared" si="37"/>
        <v>42555</v>
      </c>
      <c r="D1052" s="212"/>
      <c r="E1052" s="35">
        <v>42555</v>
      </c>
      <c r="F1052" s="144" t="s">
        <v>1466</v>
      </c>
      <c r="G1052" s="191"/>
      <c r="H1052" s="198" t="s">
        <v>821</v>
      </c>
      <c r="I1052" s="186">
        <v>74</v>
      </c>
      <c r="J1052" s="186">
        <v>15000</v>
      </c>
      <c r="K1052" s="185"/>
      <c r="L1052" s="186"/>
      <c r="M1052" s="36">
        <f>ROUND(I1052*J1052,0)</f>
        <v>1110000</v>
      </c>
      <c r="N1052" s="37" t="s">
        <v>1443</v>
      </c>
      <c r="O1052" s="37" t="s">
        <v>8</v>
      </c>
      <c r="P1052" s="47" t="str">
        <f>IF(AND('331-CT'!$F$5=TH!H1052,OR(N1052="331",O1052="331")),"x","")</f>
        <v/>
      </c>
      <c r="Q1052" s="47" t="str">
        <f>IF(AND(B1052='111'!$L$11,OR($N1052=$Q$7,$O1052=$Q$7)),"x","")</f>
        <v/>
      </c>
      <c r="R1052" s="47" t="str">
        <f>IF(AND($N1052=$Q$7,$B1052&lt;'111'!$L$11),"x","")</f>
        <v/>
      </c>
      <c r="S1052" s="47" t="str">
        <f>IF(AND($O1052=$Q$7,$B1052&lt;'111'!$L$11),"x","")</f>
        <v/>
      </c>
    </row>
    <row r="1053" spans="1:19" ht="15.75" customHeight="1">
      <c r="A1053" s="152" t="str">
        <f>IF(B1053&lt;&gt;"",IF(AND(B1053='IN-TC'!$S$4,OR(TH!N1053="1111",TH!O1053="1111")),TH!D1053,""),"")</f>
        <v/>
      </c>
      <c r="B1053" s="34">
        <f t="shared" si="36"/>
        <v>7</v>
      </c>
      <c r="C1053" s="35">
        <f t="shared" si="37"/>
        <v>42555</v>
      </c>
      <c r="D1053" s="212"/>
      <c r="E1053" s="35">
        <v>42555</v>
      </c>
      <c r="F1053" s="144" t="s">
        <v>1466</v>
      </c>
      <c r="G1053" s="191" t="s">
        <v>204</v>
      </c>
      <c r="H1053" s="198" t="s">
        <v>832</v>
      </c>
      <c r="I1053" s="186">
        <v>1401</v>
      </c>
      <c r="J1053" s="186">
        <v>15000</v>
      </c>
      <c r="K1053" s="185"/>
      <c r="L1053" s="186"/>
      <c r="M1053" s="36">
        <f>ROUND(I1053*J1053,0)</f>
        <v>21015000</v>
      </c>
      <c r="N1053" s="37" t="s">
        <v>1443</v>
      </c>
      <c r="O1053" s="37" t="s">
        <v>8</v>
      </c>
      <c r="P1053" s="47" t="str">
        <f>IF(AND('331-CT'!$F$5=TH!H1053,OR(N1053="331",O1053="331")),"x","")</f>
        <v/>
      </c>
      <c r="Q1053" s="47" t="str">
        <f>IF(AND(B1053='111'!$L$11,OR($N1053=$Q$7,$O1053=$Q$7)),"x","")</f>
        <v/>
      </c>
      <c r="R1053" s="47" t="str">
        <f>IF(AND($N1053=$Q$7,$B1053&lt;'111'!$L$11),"x","")</f>
        <v/>
      </c>
      <c r="S1053" s="47" t="str">
        <f>IF(AND($O1053=$Q$7,$B1053&lt;'111'!$L$11),"x","")</f>
        <v/>
      </c>
    </row>
    <row r="1054" spans="1:19" ht="15.75" customHeight="1">
      <c r="A1054" s="152" t="str">
        <f>IF(B1054&lt;&gt;"",IF(AND(B1054='IN-TC'!$S$4,OR(TH!N1054="1111",TH!O1054="1111")),TH!D1054,""),"")</f>
        <v/>
      </c>
      <c r="B1054" s="34">
        <f t="shared" si="36"/>
        <v>7</v>
      </c>
      <c r="C1054" s="35">
        <f t="shared" si="37"/>
        <v>42556</v>
      </c>
      <c r="D1054" s="212" t="s">
        <v>938</v>
      </c>
      <c r="E1054" s="35">
        <v>42556</v>
      </c>
      <c r="F1054" s="144" t="s">
        <v>195</v>
      </c>
      <c r="G1054" s="191" t="s">
        <v>104</v>
      </c>
      <c r="H1054" s="198"/>
      <c r="I1054" s="186"/>
      <c r="J1054" s="186"/>
      <c r="K1054" s="185"/>
      <c r="L1054" s="186"/>
      <c r="M1054" s="36">
        <v>2000000000</v>
      </c>
      <c r="N1054" s="37" t="s">
        <v>34</v>
      </c>
      <c r="O1054" s="37"/>
      <c r="P1054" s="47" t="str">
        <f>IF(AND('331-CT'!$F$5=TH!H1054,OR(N1054="331",O1054="331")),"x","")</f>
        <v/>
      </c>
      <c r="Q1054" s="47" t="str">
        <f>IF(AND(B1054='111'!$L$11,OR($N1054=$Q$7,$O1054=$Q$7)),"x","")</f>
        <v/>
      </c>
      <c r="R1054" s="47" t="str">
        <f>IF(AND($N1054=$Q$7,$B1054&lt;'111'!$L$11),"x","")</f>
        <v>x</v>
      </c>
      <c r="S1054" s="47" t="str">
        <f>IF(AND($O1054=$Q$7,$B1054&lt;'111'!$L$11),"x","")</f>
        <v/>
      </c>
    </row>
    <row r="1055" spans="1:19" ht="15.75" customHeight="1">
      <c r="A1055" s="152" t="str">
        <f>IF(B1055&lt;&gt;"",IF(AND(B1055='IN-TC'!$S$4,OR(TH!N1055="1111",TH!O1055="1111")),TH!D1055,""),"")</f>
        <v/>
      </c>
      <c r="B1055" s="34">
        <f t="shared" si="36"/>
        <v>7</v>
      </c>
      <c r="C1055" s="35">
        <f t="shared" si="37"/>
        <v>42556</v>
      </c>
      <c r="D1055" s="212" t="s">
        <v>884</v>
      </c>
      <c r="E1055" s="35">
        <v>42556</v>
      </c>
      <c r="F1055" s="144" t="s">
        <v>794</v>
      </c>
      <c r="G1055" s="191" t="s">
        <v>230</v>
      </c>
      <c r="H1055" s="198"/>
      <c r="I1055" s="186"/>
      <c r="J1055" s="186"/>
      <c r="K1055" s="185"/>
      <c r="L1055" s="186"/>
      <c r="M1055" s="36">
        <v>1000000</v>
      </c>
      <c r="N1055" s="37"/>
      <c r="O1055" s="37" t="s">
        <v>34</v>
      </c>
      <c r="P1055" s="47" t="str">
        <f>IF(AND('331-CT'!$F$5=TH!H1055,OR(N1055="331",O1055="331")),"x","")</f>
        <v/>
      </c>
      <c r="Q1055" s="47" t="str">
        <f>IF(AND(B1055='111'!$L$11,OR($N1055=$Q$7,$O1055=$Q$7)),"x","")</f>
        <v/>
      </c>
      <c r="R1055" s="47" t="str">
        <f>IF(AND($N1055=$Q$7,$B1055&lt;'111'!$L$11),"x","")</f>
        <v/>
      </c>
      <c r="S1055" s="47" t="str">
        <f>IF(AND($O1055=$Q$7,$B1055&lt;'111'!$L$11),"x","")</f>
        <v>x</v>
      </c>
    </row>
    <row r="1056" spans="1:19" ht="15.75" customHeight="1">
      <c r="A1056" s="152" t="str">
        <f>IF(B1056&lt;&gt;"",IF(AND(B1056='IN-TC'!$S$4,OR(TH!N1056="1111",TH!O1056="1111")),TH!D1056,""),"")</f>
        <v/>
      </c>
      <c r="B1056" s="34">
        <f t="shared" si="36"/>
        <v>7</v>
      </c>
      <c r="C1056" s="35">
        <f t="shared" si="37"/>
        <v>42556</v>
      </c>
      <c r="D1056" s="212" t="s">
        <v>885</v>
      </c>
      <c r="E1056" s="35">
        <v>42556</v>
      </c>
      <c r="F1056" s="144" t="s">
        <v>795</v>
      </c>
      <c r="G1056" s="191" t="s">
        <v>205</v>
      </c>
      <c r="H1056" s="198"/>
      <c r="I1056" s="186"/>
      <c r="J1056" s="186"/>
      <c r="K1056" s="185"/>
      <c r="L1056" s="186"/>
      <c r="M1056" s="36">
        <v>647000</v>
      </c>
      <c r="N1056" s="37"/>
      <c r="O1056" s="37" t="s">
        <v>34</v>
      </c>
      <c r="P1056" s="47" t="str">
        <f>IF(AND('331-CT'!$F$5=TH!H1056,OR(N1056="331",O1056="331")),"x","")</f>
        <v/>
      </c>
      <c r="Q1056" s="47" t="str">
        <f>IF(AND(B1056='111'!$L$11,OR($N1056=$Q$7,$O1056=$Q$7)),"x","")</f>
        <v/>
      </c>
      <c r="R1056" s="47" t="str">
        <f>IF(AND($N1056=$Q$7,$B1056&lt;'111'!$L$11),"x","")</f>
        <v/>
      </c>
      <c r="S1056" s="47" t="str">
        <f>IF(AND($O1056=$Q$7,$B1056&lt;'111'!$L$11),"x","")</f>
        <v>x</v>
      </c>
    </row>
    <row r="1057" spans="1:19" ht="15.75" customHeight="1">
      <c r="A1057" s="152" t="str">
        <f>IF(B1057&lt;&gt;"",IF(AND(B1057='IN-TC'!$S$4,OR(TH!N1057="1111",TH!O1057="1111")),TH!D1057,""),"")</f>
        <v/>
      </c>
      <c r="B1057" s="34">
        <f t="shared" si="36"/>
        <v>7</v>
      </c>
      <c r="C1057" s="35">
        <f t="shared" si="37"/>
        <v>42556</v>
      </c>
      <c r="D1057" s="212" t="s">
        <v>886</v>
      </c>
      <c r="E1057" s="35">
        <v>42556</v>
      </c>
      <c r="F1057" s="144" t="s">
        <v>796</v>
      </c>
      <c r="G1057" s="191" t="s">
        <v>202</v>
      </c>
      <c r="H1057" s="198"/>
      <c r="I1057" s="186"/>
      <c r="J1057" s="186"/>
      <c r="K1057" s="185"/>
      <c r="L1057" s="186"/>
      <c r="M1057" s="36">
        <v>31486000</v>
      </c>
      <c r="N1057" s="37"/>
      <c r="O1057" s="37" t="s">
        <v>34</v>
      </c>
      <c r="P1057" s="47" t="str">
        <f>IF(AND('331-CT'!$F$5=TH!H1057,OR(N1057="331",O1057="331")),"x","")</f>
        <v/>
      </c>
      <c r="Q1057" s="47" t="str">
        <f>IF(AND(B1057='111'!$L$11,OR($N1057=$Q$7,$O1057=$Q$7)),"x","")</f>
        <v/>
      </c>
      <c r="R1057" s="47" t="str">
        <f>IF(AND($N1057=$Q$7,$B1057&lt;'111'!$L$11),"x","")</f>
        <v/>
      </c>
      <c r="S1057" s="47" t="str">
        <f>IF(AND($O1057=$Q$7,$B1057&lt;'111'!$L$11),"x","")</f>
        <v>x</v>
      </c>
    </row>
    <row r="1058" spans="1:19" ht="15.75" customHeight="1">
      <c r="A1058" s="152" t="str">
        <f>IF(B1058&lt;&gt;"",IF(AND(B1058='IN-TC'!$S$4,OR(TH!N1058="1111",TH!O1058="1111")),TH!D1058,""),"")</f>
        <v/>
      </c>
      <c r="B1058" s="34">
        <f t="shared" si="36"/>
        <v>7</v>
      </c>
      <c r="C1058" s="35">
        <f t="shared" si="37"/>
        <v>42556</v>
      </c>
      <c r="D1058" s="212" t="s">
        <v>887</v>
      </c>
      <c r="E1058" s="35">
        <v>42556</v>
      </c>
      <c r="F1058" s="144" t="s">
        <v>797</v>
      </c>
      <c r="G1058" s="191" t="s">
        <v>202</v>
      </c>
      <c r="H1058" s="198"/>
      <c r="I1058" s="186"/>
      <c r="J1058" s="186"/>
      <c r="K1058" s="185"/>
      <c r="L1058" s="186"/>
      <c r="M1058" s="36">
        <v>142000</v>
      </c>
      <c r="N1058" s="37"/>
      <c r="O1058" s="37" t="s">
        <v>34</v>
      </c>
      <c r="P1058" s="47" t="str">
        <f>IF(AND('331-CT'!$F$5=TH!H1058,OR(N1058="331",O1058="331")),"x","")</f>
        <v/>
      </c>
      <c r="Q1058" s="47" t="str">
        <f>IF(AND(B1058='111'!$L$11,OR($N1058=$Q$7,$O1058=$Q$7)),"x","")</f>
        <v/>
      </c>
      <c r="R1058" s="47" t="str">
        <f>IF(AND($N1058=$Q$7,$B1058&lt;'111'!$L$11),"x","")</f>
        <v/>
      </c>
      <c r="S1058" s="47" t="str">
        <f>IF(AND($O1058=$Q$7,$B1058&lt;'111'!$L$11),"x","")</f>
        <v>x</v>
      </c>
    </row>
    <row r="1059" spans="1:19" ht="15.75" customHeight="1">
      <c r="A1059" s="152" t="str">
        <f>IF(B1059&lt;&gt;"",IF(AND(B1059='IN-TC'!$S$4,OR(TH!N1059="1111",TH!O1059="1111")),TH!D1059,""),"")</f>
        <v/>
      </c>
      <c r="B1059" s="34">
        <f t="shared" si="36"/>
        <v>7</v>
      </c>
      <c r="C1059" s="35">
        <f t="shared" si="37"/>
        <v>42556</v>
      </c>
      <c r="D1059" s="212" t="s">
        <v>888</v>
      </c>
      <c r="E1059" s="35">
        <v>42556</v>
      </c>
      <c r="F1059" s="144" t="s">
        <v>798</v>
      </c>
      <c r="G1059" s="191" t="s">
        <v>205</v>
      </c>
      <c r="H1059" s="198"/>
      <c r="I1059" s="186"/>
      <c r="J1059" s="186"/>
      <c r="K1059" s="185"/>
      <c r="L1059" s="186"/>
      <c r="M1059" s="36">
        <v>60000000</v>
      </c>
      <c r="N1059" s="37"/>
      <c r="O1059" s="37" t="s">
        <v>34</v>
      </c>
      <c r="P1059" s="47" t="str">
        <f>IF(AND('331-CT'!$F$5=TH!H1059,OR(N1059="331",O1059="331")),"x","")</f>
        <v/>
      </c>
      <c r="Q1059" s="47" t="str">
        <f>IF(AND(B1059='111'!$L$11,OR($N1059=$Q$7,$O1059=$Q$7)),"x","")</f>
        <v/>
      </c>
      <c r="R1059" s="47" t="str">
        <f>IF(AND($N1059=$Q$7,$B1059&lt;'111'!$L$11),"x","")</f>
        <v/>
      </c>
      <c r="S1059" s="47" t="str">
        <f>IF(AND($O1059=$Q$7,$B1059&lt;'111'!$L$11),"x","")</f>
        <v>x</v>
      </c>
    </row>
    <row r="1060" spans="1:19" ht="15.75" customHeight="1">
      <c r="A1060" s="152" t="str">
        <f>IF(B1060&lt;&gt;"",IF(AND(B1060='IN-TC'!$S$4,OR(TH!N1060="1111",TH!O1060="1111")),TH!D1060,""),"")</f>
        <v/>
      </c>
      <c r="B1060" s="34">
        <f t="shared" si="36"/>
        <v>7</v>
      </c>
      <c r="C1060" s="35">
        <f t="shared" si="37"/>
        <v>42556</v>
      </c>
      <c r="D1060" s="212" t="s">
        <v>889</v>
      </c>
      <c r="E1060" s="35">
        <v>42556</v>
      </c>
      <c r="F1060" s="144" t="s">
        <v>799</v>
      </c>
      <c r="G1060" s="191" t="s">
        <v>227</v>
      </c>
      <c r="H1060" s="198"/>
      <c r="I1060" s="186"/>
      <c r="J1060" s="186"/>
      <c r="K1060" s="185"/>
      <c r="L1060" s="186"/>
      <c r="M1060" s="36">
        <v>3909000</v>
      </c>
      <c r="N1060" s="37"/>
      <c r="O1060" s="37" t="s">
        <v>34</v>
      </c>
      <c r="P1060" s="47" t="str">
        <f>IF(AND('331-CT'!$F$5=TH!H1060,OR(N1060="331",O1060="331")),"x","")</f>
        <v/>
      </c>
      <c r="Q1060" s="47" t="str">
        <f>IF(AND(B1060='111'!$L$11,OR($N1060=$Q$7,$O1060=$Q$7)),"x","")</f>
        <v/>
      </c>
      <c r="R1060" s="47" t="str">
        <f>IF(AND($N1060=$Q$7,$B1060&lt;'111'!$L$11),"x","")</f>
        <v/>
      </c>
      <c r="S1060" s="47" t="str">
        <f>IF(AND($O1060=$Q$7,$B1060&lt;'111'!$L$11),"x","")</f>
        <v>x</v>
      </c>
    </row>
    <row r="1061" spans="1:19" ht="15.75" customHeight="1">
      <c r="A1061" s="152" t="str">
        <f>IF(B1061&lt;&gt;"",IF(AND(B1061='IN-TC'!$S$4,OR(TH!N1061="1111",TH!O1061="1111")),TH!D1061,""),"")</f>
        <v/>
      </c>
      <c r="B1061" s="34">
        <f t="shared" si="36"/>
        <v>7</v>
      </c>
      <c r="C1061" s="35">
        <f t="shared" si="37"/>
        <v>42556</v>
      </c>
      <c r="D1061" s="212" t="s">
        <v>890</v>
      </c>
      <c r="E1061" s="35">
        <v>42556</v>
      </c>
      <c r="F1061" s="144" t="s">
        <v>800</v>
      </c>
      <c r="G1061" s="191" t="s">
        <v>206</v>
      </c>
      <c r="H1061" s="198" t="s">
        <v>818</v>
      </c>
      <c r="I1061" s="186"/>
      <c r="J1061" s="186"/>
      <c r="K1061" s="185"/>
      <c r="L1061" s="186"/>
      <c r="M1061" s="36">
        <v>474905000</v>
      </c>
      <c r="N1061" s="37" t="s">
        <v>8</v>
      </c>
      <c r="O1061" s="37" t="s">
        <v>34</v>
      </c>
      <c r="P1061" s="47" t="str">
        <f>IF(AND('331-CT'!$F$5=TH!H1061,OR(N1061="331",O1061="331")),"x","")</f>
        <v/>
      </c>
      <c r="Q1061" s="47" t="str">
        <f>IF(AND(B1061='111'!$L$11,OR($N1061=$Q$7,$O1061=$Q$7)),"x","")</f>
        <v/>
      </c>
      <c r="R1061" s="47" t="str">
        <f>IF(AND($N1061=$Q$7,$B1061&lt;'111'!$L$11),"x","")</f>
        <v/>
      </c>
      <c r="S1061" s="47" t="str">
        <f>IF(AND($O1061=$Q$7,$B1061&lt;'111'!$L$11),"x","")</f>
        <v>x</v>
      </c>
    </row>
    <row r="1062" spans="1:19" ht="15.75" customHeight="1">
      <c r="A1062" s="152" t="str">
        <f>IF(B1062&lt;&gt;"",IF(AND(B1062='IN-TC'!$S$4,OR(TH!N1062="1111",TH!O1062="1111")),TH!D1062,""),"")</f>
        <v/>
      </c>
      <c r="B1062" s="34">
        <f t="shared" si="36"/>
        <v>7</v>
      </c>
      <c r="C1062" s="35">
        <f t="shared" si="37"/>
        <v>42556</v>
      </c>
      <c r="D1062" s="212" t="s">
        <v>891</v>
      </c>
      <c r="E1062" s="35">
        <v>42556</v>
      </c>
      <c r="F1062" s="144" t="s">
        <v>801</v>
      </c>
      <c r="G1062" s="191" t="s">
        <v>234</v>
      </c>
      <c r="H1062" s="198"/>
      <c r="I1062" s="186"/>
      <c r="J1062" s="186"/>
      <c r="K1062" s="185"/>
      <c r="L1062" s="186"/>
      <c r="M1062" s="36">
        <v>16871000</v>
      </c>
      <c r="N1062" s="37"/>
      <c r="O1062" s="37" t="s">
        <v>34</v>
      </c>
      <c r="P1062" s="47" t="str">
        <f>IF(AND('331-CT'!$F$5=TH!H1062,OR(N1062="331",O1062="331")),"x","")</f>
        <v/>
      </c>
      <c r="Q1062" s="47" t="str">
        <f>IF(AND(B1062='111'!$L$11,OR($N1062=$Q$7,$O1062=$Q$7)),"x","")</f>
        <v/>
      </c>
      <c r="R1062" s="47" t="str">
        <f>IF(AND($N1062=$Q$7,$B1062&lt;'111'!$L$11),"x","")</f>
        <v/>
      </c>
      <c r="S1062" s="47" t="str">
        <f>IF(AND($O1062=$Q$7,$B1062&lt;'111'!$L$11),"x","")</f>
        <v>x</v>
      </c>
    </row>
    <row r="1063" spans="1:19" ht="15.75" customHeight="1">
      <c r="A1063" s="152" t="str">
        <f>IF(B1063&lt;&gt;"",IF(AND(B1063='IN-TC'!$S$4,OR(TH!N1063="1111",TH!O1063="1111")),TH!D1063,""),"")</f>
        <v/>
      </c>
      <c r="B1063" s="34">
        <f t="shared" si="36"/>
        <v>7</v>
      </c>
      <c r="C1063" s="35">
        <f t="shared" si="37"/>
        <v>42556</v>
      </c>
      <c r="D1063" s="212"/>
      <c r="E1063" s="35">
        <v>42556</v>
      </c>
      <c r="F1063" s="144" t="s">
        <v>1476</v>
      </c>
      <c r="G1063" s="191" t="s">
        <v>1044</v>
      </c>
      <c r="H1063" s="198" t="s">
        <v>843</v>
      </c>
      <c r="I1063" s="186">
        <v>738</v>
      </c>
      <c r="J1063" s="186">
        <v>38000</v>
      </c>
      <c r="K1063" s="185"/>
      <c r="L1063" s="186"/>
      <c r="M1063" s="36">
        <f>ROUND(I1063*J1063,0)</f>
        <v>28044000</v>
      </c>
      <c r="N1063" s="37" t="s">
        <v>1443</v>
      </c>
      <c r="O1063" s="37" t="s">
        <v>8</v>
      </c>
      <c r="P1063" s="47" t="str">
        <f>IF(AND('331-CT'!$F$5=TH!H1063,OR(N1063="331",O1063="331")),"x","")</f>
        <v/>
      </c>
      <c r="Q1063" s="47" t="str">
        <f>IF(AND(B1063='111'!$L$11,OR($N1063=$Q$7,$O1063=$Q$7)),"x","")</f>
        <v/>
      </c>
      <c r="R1063" s="47" t="str">
        <f>IF(AND($N1063=$Q$7,$B1063&lt;'111'!$L$11),"x","")</f>
        <v/>
      </c>
      <c r="S1063" s="47" t="str">
        <f>IF(AND($O1063=$Q$7,$B1063&lt;'111'!$L$11),"x","")</f>
        <v/>
      </c>
    </row>
    <row r="1064" spans="1:19" ht="15.75" customHeight="1">
      <c r="A1064" s="152" t="str">
        <f>IF(B1064&lt;&gt;"",IF(AND(B1064='IN-TC'!$S$4,OR(TH!N1064="1111",TH!O1064="1111")),TH!D1064,""),"")</f>
        <v/>
      </c>
      <c r="B1064" s="34">
        <f t="shared" si="36"/>
        <v>7</v>
      </c>
      <c r="C1064" s="35">
        <f t="shared" si="37"/>
        <v>42556</v>
      </c>
      <c r="D1064" s="212"/>
      <c r="E1064" s="35">
        <v>42556</v>
      </c>
      <c r="F1064" s="144" t="s">
        <v>1476</v>
      </c>
      <c r="G1064" s="191" t="s">
        <v>1478</v>
      </c>
      <c r="H1064" s="198" t="s">
        <v>843</v>
      </c>
      <c r="I1064" s="186">
        <v>285</v>
      </c>
      <c r="J1064" s="186">
        <v>37000</v>
      </c>
      <c r="K1064" s="185"/>
      <c r="L1064" s="186"/>
      <c r="M1064" s="36">
        <f>ROUND(I1064*J1064,0)</f>
        <v>10545000</v>
      </c>
      <c r="N1064" s="37" t="s">
        <v>1443</v>
      </c>
      <c r="O1064" s="37" t="s">
        <v>8</v>
      </c>
      <c r="P1064" s="47" t="str">
        <f>IF(AND('331-CT'!$F$5=TH!H1064,OR(N1064="331",O1064="331")),"x","")</f>
        <v/>
      </c>
      <c r="Q1064" s="47" t="str">
        <f>IF(AND(B1064='111'!$L$11,OR($N1064=$Q$7,$O1064=$Q$7)),"x","")</f>
        <v/>
      </c>
      <c r="R1064" s="47" t="str">
        <f>IF(AND($N1064=$Q$7,$B1064&lt;'111'!$L$11),"x","")</f>
        <v/>
      </c>
      <c r="S1064" s="47" t="str">
        <f>IF(AND($O1064=$Q$7,$B1064&lt;'111'!$L$11),"x","")</f>
        <v/>
      </c>
    </row>
    <row r="1065" spans="1:19" ht="15.75" customHeight="1">
      <c r="A1065" s="152" t="str">
        <f>IF(B1065&lt;&gt;"",IF(AND(B1065='IN-TC'!$S$4,OR(TH!N1065="1111",TH!O1065="1111")),TH!D1065,""),"")</f>
        <v/>
      </c>
      <c r="B1065" s="34">
        <f t="shared" si="36"/>
        <v>7</v>
      </c>
      <c r="C1065" s="35">
        <f t="shared" si="37"/>
        <v>42557</v>
      </c>
      <c r="D1065" s="212" t="s">
        <v>939</v>
      </c>
      <c r="E1065" s="35">
        <v>42557</v>
      </c>
      <c r="F1065" s="144" t="s">
        <v>200</v>
      </c>
      <c r="G1065" s="191" t="s">
        <v>115</v>
      </c>
      <c r="H1065" s="198"/>
      <c r="I1065" s="186"/>
      <c r="J1065" s="186"/>
      <c r="K1065" s="185"/>
      <c r="L1065" s="186"/>
      <c r="M1065" s="36">
        <v>6797000</v>
      </c>
      <c r="N1065" s="37" t="s">
        <v>34</v>
      </c>
      <c r="O1065" s="37"/>
      <c r="P1065" s="47" t="str">
        <f>IF(AND('331-CT'!$F$5=TH!H1065,OR(N1065="331",O1065="331")),"x","")</f>
        <v/>
      </c>
      <c r="Q1065" s="47" t="str">
        <f>IF(AND(B1065='111'!$L$11,OR($N1065=$Q$7,$O1065=$Q$7)),"x","")</f>
        <v/>
      </c>
      <c r="R1065" s="47" t="str">
        <f>IF(AND($N1065=$Q$7,$B1065&lt;'111'!$L$11),"x","")</f>
        <v>x</v>
      </c>
      <c r="S1065" s="47" t="str">
        <f>IF(AND($O1065=$Q$7,$B1065&lt;'111'!$L$11),"x","")</f>
        <v/>
      </c>
    </row>
    <row r="1066" spans="1:19" ht="15.75" customHeight="1">
      <c r="A1066" s="152" t="str">
        <f>IF(B1066&lt;&gt;"",IF(AND(B1066='IN-TC'!$S$4,OR(TH!N1066="1111",TH!O1066="1111")),TH!D1066,""),"")</f>
        <v/>
      </c>
      <c r="B1066" s="34">
        <f t="shared" si="36"/>
        <v>7</v>
      </c>
      <c r="C1066" s="35">
        <f t="shared" si="37"/>
        <v>42557</v>
      </c>
      <c r="D1066" s="212" t="s">
        <v>892</v>
      </c>
      <c r="E1066" s="35">
        <v>42557</v>
      </c>
      <c r="F1066" s="144" t="s">
        <v>802</v>
      </c>
      <c r="G1066" s="191" t="s">
        <v>219</v>
      </c>
      <c r="H1066" s="198"/>
      <c r="I1066" s="186"/>
      <c r="J1066" s="186"/>
      <c r="K1066" s="185"/>
      <c r="L1066" s="186"/>
      <c r="M1066" s="36">
        <v>4600000</v>
      </c>
      <c r="N1066" s="37"/>
      <c r="O1066" s="37" t="s">
        <v>34</v>
      </c>
      <c r="P1066" s="47" t="str">
        <f>IF(AND('331-CT'!$F$5=TH!H1066,OR(N1066="331",O1066="331")),"x","")</f>
        <v/>
      </c>
      <c r="Q1066" s="47" t="str">
        <f>IF(AND(B1066='111'!$L$11,OR($N1066=$Q$7,$O1066=$Q$7)),"x","")</f>
        <v/>
      </c>
      <c r="R1066" s="47" t="str">
        <f>IF(AND($N1066=$Q$7,$B1066&lt;'111'!$L$11),"x","")</f>
        <v/>
      </c>
      <c r="S1066" s="47" t="str">
        <f>IF(AND($O1066=$Q$7,$B1066&lt;'111'!$L$11),"x","")</f>
        <v>x</v>
      </c>
    </row>
    <row r="1067" spans="1:19" ht="15.75" customHeight="1">
      <c r="A1067" s="152" t="str">
        <f>IF(B1067&lt;&gt;"",IF(AND(B1067='IN-TC'!$S$4,OR(TH!N1067="1111",TH!O1067="1111")),TH!D1067,""),"")</f>
        <v/>
      </c>
      <c r="B1067" s="34">
        <f t="shared" si="36"/>
        <v>7</v>
      </c>
      <c r="C1067" s="35">
        <f t="shared" si="37"/>
        <v>42557</v>
      </c>
      <c r="D1067" s="212" t="s">
        <v>893</v>
      </c>
      <c r="E1067" s="35">
        <v>42557</v>
      </c>
      <c r="F1067" s="144" t="s">
        <v>243</v>
      </c>
      <c r="G1067" s="191" t="s">
        <v>206</v>
      </c>
      <c r="H1067" s="198" t="s">
        <v>824</v>
      </c>
      <c r="I1067" s="186"/>
      <c r="J1067" s="186"/>
      <c r="K1067" s="185"/>
      <c r="L1067" s="186"/>
      <c r="M1067" s="36">
        <v>200000000</v>
      </c>
      <c r="N1067" s="37" t="s">
        <v>8</v>
      </c>
      <c r="O1067" s="37" t="s">
        <v>34</v>
      </c>
      <c r="P1067" s="47" t="str">
        <f>IF(AND('331-CT'!$F$5=TH!H1067,OR(N1067="331",O1067="331")),"x","")</f>
        <v/>
      </c>
      <c r="Q1067" s="47" t="str">
        <f>IF(AND(B1067='111'!$L$11,OR($N1067=$Q$7,$O1067=$Q$7)),"x","")</f>
        <v/>
      </c>
      <c r="R1067" s="47" t="str">
        <f>IF(AND($N1067=$Q$7,$B1067&lt;'111'!$L$11),"x","")</f>
        <v/>
      </c>
      <c r="S1067" s="47" t="str">
        <f>IF(AND($O1067=$Q$7,$B1067&lt;'111'!$L$11),"x","")</f>
        <v>x</v>
      </c>
    </row>
    <row r="1068" spans="1:19" ht="15.75" customHeight="1">
      <c r="A1068" s="152" t="str">
        <f>IF(B1068&lt;&gt;"",IF(AND(B1068='IN-TC'!$S$4,OR(TH!N1068="1111",TH!O1068="1111")),TH!D1068,""),"")</f>
        <v/>
      </c>
      <c r="B1068" s="34">
        <f t="shared" si="36"/>
        <v>7</v>
      </c>
      <c r="C1068" s="35">
        <f t="shared" si="37"/>
        <v>42557</v>
      </c>
      <c r="D1068" s="212" t="s">
        <v>894</v>
      </c>
      <c r="E1068" s="35">
        <v>42557</v>
      </c>
      <c r="F1068" s="144" t="s">
        <v>1396</v>
      </c>
      <c r="G1068" s="191" t="s">
        <v>206</v>
      </c>
      <c r="H1068" s="198" t="s">
        <v>841</v>
      </c>
      <c r="I1068" s="186"/>
      <c r="J1068" s="186"/>
      <c r="K1068" s="185"/>
      <c r="L1068" s="186"/>
      <c r="M1068" s="36">
        <v>200000000</v>
      </c>
      <c r="N1068" s="37" t="s">
        <v>8</v>
      </c>
      <c r="O1068" s="37" t="s">
        <v>34</v>
      </c>
      <c r="P1068" s="47" t="str">
        <f>IF(AND('331-CT'!$F$5=TH!H1068,OR(N1068="331",O1068="331")),"x","")</f>
        <v/>
      </c>
      <c r="Q1068" s="47" t="str">
        <f>IF(AND(B1068='111'!$L$11,OR($N1068=$Q$7,$O1068=$Q$7)),"x","")</f>
        <v/>
      </c>
      <c r="R1068" s="47" t="str">
        <f>IF(AND($N1068=$Q$7,$B1068&lt;'111'!$L$11),"x","")</f>
        <v/>
      </c>
      <c r="S1068" s="47" t="str">
        <f>IF(AND($O1068=$Q$7,$B1068&lt;'111'!$L$11),"x","")</f>
        <v>x</v>
      </c>
    </row>
    <row r="1069" spans="1:19" ht="15.75" customHeight="1">
      <c r="A1069" s="152" t="str">
        <f>IF(B1069&lt;&gt;"",IF(AND(B1069='IN-TC'!$S$4,OR(TH!N1069="1111",TH!O1069="1111")),TH!D1069,""),"")</f>
        <v/>
      </c>
      <c r="B1069" s="34">
        <f t="shared" si="36"/>
        <v>7</v>
      </c>
      <c r="C1069" s="35">
        <f t="shared" si="37"/>
        <v>42557</v>
      </c>
      <c r="D1069" s="212" t="s">
        <v>894</v>
      </c>
      <c r="E1069" s="35">
        <v>42557</v>
      </c>
      <c r="F1069" s="144" t="s">
        <v>1424</v>
      </c>
      <c r="G1069" s="191"/>
      <c r="H1069" s="198"/>
      <c r="I1069" s="186"/>
      <c r="J1069" s="186"/>
      <c r="K1069" s="185"/>
      <c r="L1069" s="186"/>
      <c r="M1069" s="36">
        <v>30000</v>
      </c>
      <c r="N1069" s="37" t="s">
        <v>1425</v>
      </c>
      <c r="O1069" s="37" t="s">
        <v>34</v>
      </c>
      <c r="P1069" s="47" t="str">
        <f>IF(AND('331-CT'!$F$5=TH!H1069,OR(N1069="331",O1069="331")),"x","")</f>
        <v/>
      </c>
      <c r="Q1069" s="47" t="str">
        <f>IF(AND(B1069='111'!$L$11,OR($N1069=$Q$7,$O1069=$Q$7)),"x","")</f>
        <v/>
      </c>
      <c r="R1069" s="47" t="str">
        <f>IF(AND($N1069=$Q$7,$B1069&lt;'111'!$L$11),"x","")</f>
        <v/>
      </c>
      <c r="S1069" s="47" t="str">
        <f>IF(AND($O1069=$Q$7,$B1069&lt;'111'!$L$11),"x","")</f>
        <v>x</v>
      </c>
    </row>
    <row r="1070" spans="1:19" ht="15.75" customHeight="1">
      <c r="A1070" s="152" t="str">
        <f>IF(B1070&lt;&gt;"",IF(AND(B1070='IN-TC'!$S$4,OR(TH!N1070="1111",TH!O1070="1111")),TH!D1070,""),"")</f>
        <v/>
      </c>
      <c r="B1070" s="34">
        <f t="shared" si="36"/>
        <v>7</v>
      </c>
      <c r="C1070" s="35">
        <f t="shared" si="37"/>
        <v>42557</v>
      </c>
      <c r="D1070" s="212" t="s">
        <v>895</v>
      </c>
      <c r="E1070" s="35">
        <v>42557</v>
      </c>
      <c r="F1070" s="144" t="s">
        <v>803</v>
      </c>
      <c r="G1070" s="191" t="s">
        <v>105</v>
      </c>
      <c r="H1070" s="198" t="s">
        <v>1042</v>
      </c>
      <c r="I1070" s="186"/>
      <c r="J1070" s="186"/>
      <c r="K1070" s="185"/>
      <c r="L1070" s="186"/>
      <c r="M1070" s="36">
        <v>200000000</v>
      </c>
      <c r="N1070" s="37" t="s">
        <v>812</v>
      </c>
      <c r="O1070" s="37" t="s">
        <v>34</v>
      </c>
      <c r="P1070" s="47" t="str">
        <f>IF(AND('331-CT'!$F$5=TH!H1070,OR(N1070="331",O1070="331")),"x","")</f>
        <v/>
      </c>
      <c r="Q1070" s="47" t="str">
        <f>IF(AND(B1070='111'!$L$11,OR($N1070=$Q$7,$O1070=$Q$7)),"x","")</f>
        <v/>
      </c>
      <c r="R1070" s="47" t="str">
        <f>IF(AND($N1070=$Q$7,$B1070&lt;'111'!$L$11),"x","")</f>
        <v/>
      </c>
      <c r="S1070" s="47" t="str">
        <f>IF(AND($O1070=$Q$7,$B1070&lt;'111'!$L$11),"x","")</f>
        <v>x</v>
      </c>
    </row>
    <row r="1071" spans="1:19" ht="15.75" customHeight="1">
      <c r="A1071" s="152" t="str">
        <f>IF(B1071&lt;&gt;"",IF(AND(B1071='IN-TC'!$S$4,OR(TH!N1071="1111",TH!O1071="1111")),TH!D1071,""),"")</f>
        <v/>
      </c>
      <c r="B1071" s="34">
        <f t="shared" si="36"/>
        <v>7</v>
      </c>
      <c r="C1071" s="35">
        <f t="shared" si="37"/>
        <v>42557</v>
      </c>
      <c r="D1071" s="212" t="s">
        <v>895</v>
      </c>
      <c r="E1071" s="35">
        <v>42557</v>
      </c>
      <c r="F1071" s="144" t="s">
        <v>203</v>
      </c>
      <c r="G1071" s="191" t="s">
        <v>203</v>
      </c>
      <c r="H1071" s="198" t="s">
        <v>1042</v>
      </c>
      <c r="I1071" s="186"/>
      <c r="J1071" s="186"/>
      <c r="K1071" s="185"/>
      <c r="L1071" s="186"/>
      <c r="M1071" s="36">
        <v>5162000</v>
      </c>
      <c r="N1071" s="37" t="s">
        <v>814</v>
      </c>
      <c r="O1071" s="37" t="s">
        <v>34</v>
      </c>
      <c r="P1071" s="47" t="str">
        <f>IF(AND('331-CT'!$F$5=TH!H1071,OR(N1071="331",O1071="331")),"x","")</f>
        <v/>
      </c>
      <c r="Q1071" s="47" t="str">
        <f>IF(AND(B1071='111'!$L$11,OR($N1071=$Q$7,$O1071=$Q$7)),"x","")</f>
        <v/>
      </c>
      <c r="R1071" s="47" t="str">
        <f>IF(AND($N1071=$Q$7,$B1071&lt;'111'!$L$11),"x","")</f>
        <v/>
      </c>
      <c r="S1071" s="47" t="str">
        <f>IF(AND($O1071=$Q$7,$B1071&lt;'111'!$L$11),"x","")</f>
        <v>x</v>
      </c>
    </row>
    <row r="1072" spans="1:19" ht="15.75" customHeight="1">
      <c r="A1072" s="152" t="str">
        <f>IF(B1072&lt;&gt;"",IF(AND(B1072='IN-TC'!$S$4,OR(TH!N1072="1111",TH!O1072="1111")),TH!D1072,""),"")</f>
        <v/>
      </c>
      <c r="B1072" s="34">
        <f t="shared" si="36"/>
        <v>7</v>
      </c>
      <c r="C1072" s="35">
        <f t="shared" si="37"/>
        <v>42557</v>
      </c>
      <c r="D1072" s="212" t="s">
        <v>896</v>
      </c>
      <c r="E1072" s="35">
        <v>42557</v>
      </c>
      <c r="F1072" s="144" t="s">
        <v>804</v>
      </c>
      <c r="G1072" s="191" t="s">
        <v>105</v>
      </c>
      <c r="H1072" s="198" t="s">
        <v>1416</v>
      </c>
      <c r="I1072" s="186"/>
      <c r="J1072" s="186"/>
      <c r="K1072" s="185"/>
      <c r="L1072" s="186"/>
      <c r="M1072" s="36">
        <v>150000000</v>
      </c>
      <c r="N1072" s="37" t="s">
        <v>812</v>
      </c>
      <c r="O1072" s="37" t="s">
        <v>34</v>
      </c>
      <c r="P1072" s="47" t="str">
        <f>IF(AND('331-CT'!$F$5=TH!H1072,OR(N1072="331",O1072="331")),"x","")</f>
        <v/>
      </c>
      <c r="Q1072" s="47" t="str">
        <f>IF(AND(B1072='111'!$L$11,OR($N1072=$Q$7,$O1072=$Q$7)),"x","")</f>
        <v/>
      </c>
      <c r="R1072" s="47" t="str">
        <f>IF(AND($N1072=$Q$7,$B1072&lt;'111'!$L$11),"x","")</f>
        <v/>
      </c>
      <c r="S1072" s="47" t="str">
        <f>IF(AND($O1072=$Q$7,$B1072&lt;'111'!$L$11),"x","")</f>
        <v>x</v>
      </c>
    </row>
    <row r="1073" spans="1:19" ht="15.75" customHeight="1">
      <c r="A1073" s="152" t="str">
        <f>IF(B1073&lt;&gt;"",IF(AND(B1073='IN-TC'!$S$4,OR(TH!N1073="1111",TH!O1073="1111")),TH!D1073,""),"")</f>
        <v/>
      </c>
      <c r="B1073" s="34">
        <f t="shared" si="36"/>
        <v>7</v>
      </c>
      <c r="C1073" s="35">
        <f t="shared" si="37"/>
        <v>42557</v>
      </c>
      <c r="D1073" s="212" t="s">
        <v>896</v>
      </c>
      <c r="E1073" s="35">
        <v>42557</v>
      </c>
      <c r="F1073" s="144" t="s">
        <v>203</v>
      </c>
      <c r="G1073" s="191" t="s">
        <v>203</v>
      </c>
      <c r="H1073" s="198" t="s">
        <v>1416</v>
      </c>
      <c r="I1073" s="186"/>
      <c r="J1073" s="186"/>
      <c r="K1073" s="185"/>
      <c r="L1073" s="186"/>
      <c r="M1073" s="36">
        <v>3051000</v>
      </c>
      <c r="N1073" s="37" t="s">
        <v>814</v>
      </c>
      <c r="O1073" s="37" t="s">
        <v>34</v>
      </c>
      <c r="P1073" s="47" t="str">
        <f>IF(AND('331-CT'!$F$5=TH!H1073,OR(N1073="331",O1073="331")),"x","")</f>
        <v/>
      </c>
      <c r="Q1073" s="47" t="str">
        <f>IF(AND(B1073='111'!$L$11,OR($N1073=$Q$7,$O1073=$Q$7)),"x","")</f>
        <v/>
      </c>
      <c r="R1073" s="47" t="str">
        <f>IF(AND($N1073=$Q$7,$B1073&lt;'111'!$L$11),"x","")</f>
        <v/>
      </c>
      <c r="S1073" s="47" t="str">
        <f>IF(AND($O1073=$Q$7,$B1073&lt;'111'!$L$11),"x","")</f>
        <v>x</v>
      </c>
    </row>
    <row r="1074" spans="1:19" ht="15.75" customHeight="1">
      <c r="A1074" s="152" t="str">
        <f>IF(B1074&lt;&gt;"",IF(AND(B1074='IN-TC'!$S$4,OR(TH!N1074="1111",TH!O1074="1111")),TH!D1074,""),"")</f>
        <v/>
      </c>
      <c r="B1074" s="34">
        <f t="shared" si="36"/>
        <v>7</v>
      </c>
      <c r="C1074" s="35">
        <f t="shared" si="37"/>
        <v>42557</v>
      </c>
      <c r="D1074" s="212" t="s">
        <v>897</v>
      </c>
      <c r="E1074" s="35">
        <v>42557</v>
      </c>
      <c r="F1074" s="144" t="s">
        <v>805</v>
      </c>
      <c r="G1074" s="191" t="s">
        <v>232</v>
      </c>
      <c r="H1074" s="198"/>
      <c r="I1074" s="186"/>
      <c r="J1074" s="186"/>
      <c r="K1074" s="185"/>
      <c r="L1074" s="186"/>
      <c r="M1074" s="36">
        <v>6634000</v>
      </c>
      <c r="N1074" s="37"/>
      <c r="O1074" s="37" t="s">
        <v>34</v>
      </c>
      <c r="P1074" s="47" t="str">
        <f>IF(AND('331-CT'!$F$5=TH!H1074,OR(N1074="331",O1074="331")),"x","")</f>
        <v/>
      </c>
      <c r="Q1074" s="47" t="str">
        <f>IF(AND(B1074='111'!$L$11,OR($N1074=$Q$7,$O1074=$Q$7)),"x","")</f>
        <v/>
      </c>
      <c r="R1074" s="47" t="str">
        <f>IF(AND($N1074=$Q$7,$B1074&lt;'111'!$L$11),"x","")</f>
        <v/>
      </c>
      <c r="S1074" s="47" t="str">
        <f>IF(AND($O1074=$Q$7,$B1074&lt;'111'!$L$11),"x","")</f>
        <v>x</v>
      </c>
    </row>
    <row r="1075" spans="1:19" ht="15.75" customHeight="1">
      <c r="A1075" s="152" t="str">
        <f>IF(B1075&lt;&gt;"",IF(AND(B1075='IN-TC'!$S$4,OR(TH!N1075="1111",TH!O1075="1111")),TH!D1075,""),"")</f>
        <v/>
      </c>
      <c r="B1075" s="34">
        <f t="shared" si="36"/>
        <v>7</v>
      </c>
      <c r="C1075" s="35">
        <f t="shared" si="37"/>
        <v>42557</v>
      </c>
      <c r="D1075" s="212" t="s">
        <v>898</v>
      </c>
      <c r="E1075" s="35">
        <v>42557</v>
      </c>
      <c r="F1075" s="144" t="s">
        <v>806</v>
      </c>
      <c r="G1075" s="191" t="s">
        <v>220</v>
      </c>
      <c r="H1075" s="198"/>
      <c r="I1075" s="186"/>
      <c r="J1075" s="186"/>
      <c r="K1075" s="185"/>
      <c r="L1075" s="186"/>
      <c r="M1075" s="36">
        <v>22322000</v>
      </c>
      <c r="N1075" s="37"/>
      <c r="O1075" s="37" t="s">
        <v>34</v>
      </c>
      <c r="P1075" s="47" t="str">
        <f>IF(AND('331-CT'!$F$5=TH!H1075,OR(N1075="331",O1075="331")),"x","")</f>
        <v/>
      </c>
      <c r="Q1075" s="47" t="str">
        <f>IF(AND(B1075='111'!$L$11,OR($N1075=$Q$7,$O1075=$Q$7)),"x","")</f>
        <v/>
      </c>
      <c r="R1075" s="47" t="str">
        <f>IF(AND($N1075=$Q$7,$B1075&lt;'111'!$L$11),"x","")</f>
        <v/>
      </c>
      <c r="S1075" s="47" t="str">
        <f>IF(AND($O1075=$Q$7,$B1075&lt;'111'!$L$11),"x","")</f>
        <v>x</v>
      </c>
    </row>
    <row r="1076" spans="1:19" ht="15.75" customHeight="1">
      <c r="A1076" s="152" t="str">
        <f>IF(B1076&lt;&gt;"",IF(AND(B1076='IN-TC'!$S$4,OR(TH!N1076="1111",TH!O1076="1111")),TH!D1076,""),"")</f>
        <v/>
      </c>
      <c r="B1076" s="34">
        <f t="shared" si="36"/>
        <v>7</v>
      </c>
      <c r="C1076" s="35">
        <f t="shared" si="37"/>
        <v>42557</v>
      </c>
      <c r="D1076" s="212" t="s">
        <v>899</v>
      </c>
      <c r="E1076" s="35">
        <v>42557</v>
      </c>
      <c r="F1076" s="144" t="s">
        <v>807</v>
      </c>
      <c r="G1076" s="191" t="s">
        <v>219</v>
      </c>
      <c r="H1076" s="198"/>
      <c r="I1076" s="186"/>
      <c r="J1076" s="186"/>
      <c r="K1076" s="185"/>
      <c r="L1076" s="186"/>
      <c r="M1076" s="36">
        <v>400000</v>
      </c>
      <c r="N1076" s="37"/>
      <c r="O1076" s="37" t="s">
        <v>34</v>
      </c>
      <c r="P1076" s="47" t="str">
        <f>IF(AND('331-CT'!$F$5=TH!H1076,OR(N1076="331",O1076="331")),"x","")</f>
        <v/>
      </c>
      <c r="Q1076" s="47" t="str">
        <f>IF(AND(B1076='111'!$L$11,OR($N1076=$Q$7,$O1076=$Q$7)),"x","")</f>
        <v/>
      </c>
      <c r="R1076" s="47" t="str">
        <f>IF(AND($N1076=$Q$7,$B1076&lt;'111'!$L$11),"x","")</f>
        <v/>
      </c>
      <c r="S1076" s="47" t="str">
        <f>IF(AND($O1076=$Q$7,$B1076&lt;'111'!$L$11),"x","")</f>
        <v>x</v>
      </c>
    </row>
    <row r="1077" spans="1:19" ht="15.75" customHeight="1">
      <c r="A1077" s="152" t="str">
        <f>IF(B1077&lt;&gt;"",IF(AND(B1077='IN-TC'!$S$4,OR(TH!N1077="1111",TH!O1077="1111")),TH!D1077,""),"")</f>
        <v/>
      </c>
      <c r="B1077" s="34">
        <f t="shared" si="36"/>
        <v>7</v>
      </c>
      <c r="C1077" s="35">
        <f t="shared" si="37"/>
        <v>42557</v>
      </c>
      <c r="D1077" s="212" t="s">
        <v>900</v>
      </c>
      <c r="E1077" s="35">
        <v>42557</v>
      </c>
      <c r="F1077" s="144" t="s">
        <v>808</v>
      </c>
      <c r="G1077" s="191" t="s">
        <v>110</v>
      </c>
      <c r="H1077" s="198"/>
      <c r="I1077" s="186"/>
      <c r="J1077" s="186"/>
      <c r="K1077" s="185"/>
      <c r="L1077" s="186"/>
      <c r="M1077" s="36">
        <v>4000000</v>
      </c>
      <c r="N1077" s="37"/>
      <c r="O1077" s="37" t="s">
        <v>34</v>
      </c>
      <c r="P1077" s="47" t="str">
        <f>IF(AND('331-CT'!$F$5=TH!H1077,OR(N1077="331",O1077="331")),"x","")</f>
        <v/>
      </c>
      <c r="Q1077" s="47" t="str">
        <f>IF(AND(B1077='111'!$L$11,OR($N1077=$Q$7,$O1077=$Q$7)),"x","")</f>
        <v/>
      </c>
      <c r="R1077" s="47" t="str">
        <f>IF(AND($N1077=$Q$7,$B1077&lt;'111'!$L$11),"x","")</f>
        <v/>
      </c>
      <c r="S1077" s="47" t="str">
        <f>IF(AND($O1077=$Q$7,$B1077&lt;'111'!$L$11),"x","")</f>
        <v>x</v>
      </c>
    </row>
    <row r="1078" spans="1:19" ht="15.75" customHeight="1">
      <c r="A1078" s="152" t="str">
        <f>IF(B1078&lt;&gt;"",IF(AND(B1078='IN-TC'!$S$4,OR(TH!N1078="1111",TH!O1078="1111")),TH!D1078,""),"")</f>
        <v/>
      </c>
      <c r="B1078" s="34">
        <f t="shared" si="36"/>
        <v>7</v>
      </c>
      <c r="C1078" s="35">
        <f t="shared" si="37"/>
        <v>42557</v>
      </c>
      <c r="D1078" s="212" t="s">
        <v>901</v>
      </c>
      <c r="E1078" s="35">
        <v>42557</v>
      </c>
      <c r="F1078" s="144" t="s">
        <v>1389</v>
      </c>
      <c r="G1078" s="191" t="s">
        <v>203</v>
      </c>
      <c r="H1078" s="198" t="s">
        <v>1418</v>
      </c>
      <c r="I1078" s="186"/>
      <c r="J1078" s="186"/>
      <c r="K1078" s="185"/>
      <c r="L1078" s="186"/>
      <c r="M1078" s="36">
        <v>16511000</v>
      </c>
      <c r="N1078" s="37" t="s">
        <v>814</v>
      </c>
      <c r="O1078" s="37" t="s">
        <v>34</v>
      </c>
      <c r="P1078" s="47" t="str">
        <f>IF(AND('331-CT'!$F$5=TH!H1078,OR(N1078="331",O1078="331")),"x","")</f>
        <v/>
      </c>
      <c r="Q1078" s="47" t="str">
        <f>IF(AND(B1078='111'!$L$11,OR($N1078=$Q$7,$O1078=$Q$7)),"x","")</f>
        <v/>
      </c>
      <c r="R1078" s="47" t="str">
        <f>IF(AND($N1078=$Q$7,$B1078&lt;'111'!$L$11),"x","")</f>
        <v/>
      </c>
      <c r="S1078" s="47" t="str">
        <f>IF(AND($O1078=$Q$7,$B1078&lt;'111'!$L$11),"x","")</f>
        <v>x</v>
      </c>
    </row>
    <row r="1079" spans="1:19" ht="15.75" customHeight="1">
      <c r="A1079" s="152" t="str">
        <f>IF(B1079&lt;&gt;"",IF(AND(B1079='IN-TC'!$S$4,OR(TH!N1079="1111",TH!O1079="1111")),TH!D1079,""),"")</f>
        <v/>
      </c>
      <c r="B1079" s="34">
        <f t="shared" si="36"/>
        <v>7</v>
      </c>
      <c r="C1079" s="35">
        <f t="shared" si="37"/>
        <v>42557</v>
      </c>
      <c r="D1079" s="212"/>
      <c r="E1079" s="35">
        <v>42557</v>
      </c>
      <c r="F1079" s="144" t="s">
        <v>1446</v>
      </c>
      <c r="G1079" s="191" t="s">
        <v>1454</v>
      </c>
      <c r="H1079" s="198" t="s">
        <v>849</v>
      </c>
      <c r="I1079" s="186">
        <v>1000</v>
      </c>
      <c r="J1079" s="186">
        <v>54000</v>
      </c>
      <c r="K1079" s="185"/>
      <c r="L1079" s="186"/>
      <c r="M1079" s="36">
        <f>ROUND(I1079*J1079,0)</f>
        <v>54000000</v>
      </c>
      <c r="N1079" s="37" t="s">
        <v>1443</v>
      </c>
      <c r="O1079" s="37" t="s">
        <v>8</v>
      </c>
      <c r="P1079" s="47" t="str">
        <f>IF(AND('331-CT'!$F$5=TH!H1079,OR(N1079="331",O1079="331")),"x","")</f>
        <v/>
      </c>
      <c r="Q1079" s="47" t="str">
        <f>IF(AND(B1079='111'!$L$11,OR($N1079=$Q$7,$O1079=$Q$7)),"x","")</f>
        <v/>
      </c>
      <c r="R1079" s="47" t="str">
        <f>IF(AND($N1079=$Q$7,$B1079&lt;'111'!$L$11),"x","")</f>
        <v/>
      </c>
      <c r="S1079" s="47" t="str">
        <f>IF(AND($O1079=$Q$7,$B1079&lt;'111'!$L$11),"x","")</f>
        <v/>
      </c>
    </row>
    <row r="1080" spans="1:19" ht="15.75" customHeight="1">
      <c r="A1080" s="152" t="str">
        <f>IF(B1080&lt;&gt;"",IF(AND(B1080='IN-TC'!$S$4,OR(TH!N1080="1111",TH!O1080="1111")),TH!D1080,""),"")</f>
        <v/>
      </c>
      <c r="B1080" s="34">
        <f t="shared" si="36"/>
        <v>7</v>
      </c>
      <c r="C1080" s="35">
        <f t="shared" si="37"/>
        <v>42557</v>
      </c>
      <c r="D1080" s="212"/>
      <c r="E1080" s="35">
        <v>42557</v>
      </c>
      <c r="F1080" s="144" t="s">
        <v>1467</v>
      </c>
      <c r="G1080" s="191"/>
      <c r="H1080" s="198" t="s">
        <v>831</v>
      </c>
      <c r="I1080" s="186">
        <v>1470</v>
      </c>
      <c r="J1080" s="186">
        <v>12000</v>
      </c>
      <c r="K1080" s="185"/>
      <c r="L1080" s="186"/>
      <c r="M1080" s="36">
        <f>ROUND(I1080*J1080,0)</f>
        <v>17640000</v>
      </c>
      <c r="N1080" s="37" t="s">
        <v>1443</v>
      </c>
      <c r="O1080" s="37" t="s">
        <v>8</v>
      </c>
      <c r="P1080" s="47" t="str">
        <f>IF(AND('331-CT'!$F$5=TH!H1080,OR(N1080="331",O1080="331")),"x","")</f>
        <v/>
      </c>
      <c r="Q1080" s="47" t="str">
        <f>IF(AND(B1080='111'!$L$11,OR($N1080=$Q$7,$O1080=$Q$7)),"x","")</f>
        <v/>
      </c>
      <c r="R1080" s="47" t="str">
        <f>IF(AND($N1080=$Q$7,$B1080&lt;'111'!$L$11),"x","")</f>
        <v/>
      </c>
      <c r="S1080" s="47" t="str">
        <f>IF(AND($O1080=$Q$7,$B1080&lt;'111'!$L$11),"x","")</f>
        <v/>
      </c>
    </row>
    <row r="1081" spans="1:19" ht="15.75" customHeight="1">
      <c r="A1081" s="152" t="str">
        <f>IF(B1081&lt;&gt;"",IF(AND(B1081='IN-TC'!$S$4,OR(TH!N1081="1111",TH!O1081="1111")),TH!D1081,""),"")</f>
        <v/>
      </c>
      <c r="B1081" s="34">
        <f t="shared" si="36"/>
        <v>7</v>
      </c>
      <c r="C1081" s="35">
        <f t="shared" si="37"/>
        <v>42557</v>
      </c>
      <c r="D1081" s="212"/>
      <c r="E1081" s="35">
        <v>42557</v>
      </c>
      <c r="F1081" s="144" t="s">
        <v>1476</v>
      </c>
      <c r="G1081" s="191" t="s">
        <v>1044</v>
      </c>
      <c r="H1081" s="198" t="s">
        <v>843</v>
      </c>
      <c r="I1081" s="186">
        <v>759</v>
      </c>
      <c r="J1081" s="186">
        <v>38000</v>
      </c>
      <c r="K1081" s="185"/>
      <c r="L1081" s="186"/>
      <c r="M1081" s="36">
        <f>ROUND(I1081*J1081,0)</f>
        <v>28842000</v>
      </c>
      <c r="N1081" s="37" t="s">
        <v>1443</v>
      </c>
      <c r="O1081" s="37" t="s">
        <v>8</v>
      </c>
      <c r="P1081" s="47" t="str">
        <f>IF(AND('331-CT'!$F$5=TH!H1081,OR(N1081="331",O1081="331")),"x","")</f>
        <v/>
      </c>
      <c r="Q1081" s="47" t="str">
        <f>IF(AND(B1081='111'!$L$11,OR($N1081=$Q$7,$O1081=$Q$7)),"x","")</f>
        <v/>
      </c>
      <c r="R1081" s="47" t="str">
        <f>IF(AND($N1081=$Q$7,$B1081&lt;'111'!$L$11),"x","")</f>
        <v/>
      </c>
      <c r="S1081" s="47" t="str">
        <f>IF(AND($O1081=$Q$7,$B1081&lt;'111'!$L$11),"x","")</f>
        <v/>
      </c>
    </row>
    <row r="1082" spans="1:19" ht="15.75" customHeight="1">
      <c r="A1082" s="152" t="str">
        <f>IF(B1082&lt;&gt;"",IF(AND(B1082='IN-TC'!$S$4,OR(TH!N1082="1111",TH!O1082="1111")),TH!D1082,""),"")</f>
        <v/>
      </c>
      <c r="B1082" s="34">
        <f t="shared" si="36"/>
        <v>7</v>
      </c>
      <c r="C1082" s="35">
        <f t="shared" si="37"/>
        <v>42558</v>
      </c>
      <c r="D1082" s="212" t="s">
        <v>902</v>
      </c>
      <c r="E1082" s="35">
        <v>42558</v>
      </c>
      <c r="F1082" s="144" t="s">
        <v>809</v>
      </c>
      <c r="G1082" s="191" t="s">
        <v>205</v>
      </c>
      <c r="H1082" s="198"/>
      <c r="I1082" s="186"/>
      <c r="J1082" s="186"/>
      <c r="K1082" s="185"/>
      <c r="L1082" s="186"/>
      <c r="M1082" s="36">
        <v>550000</v>
      </c>
      <c r="N1082" s="37"/>
      <c r="O1082" s="37" t="s">
        <v>34</v>
      </c>
      <c r="P1082" s="47" t="str">
        <f>IF(AND('331-CT'!$F$5=TH!H1082,OR(N1082="331",O1082="331")),"x","")</f>
        <v/>
      </c>
      <c r="Q1082" s="47" t="str">
        <f>IF(AND(B1082='111'!$L$11,OR($N1082=$Q$7,$O1082=$Q$7)),"x","")</f>
        <v/>
      </c>
      <c r="R1082" s="47" t="str">
        <f>IF(AND($N1082=$Q$7,$B1082&lt;'111'!$L$11),"x","")</f>
        <v/>
      </c>
      <c r="S1082" s="47" t="str">
        <f>IF(AND($O1082=$Q$7,$B1082&lt;'111'!$L$11),"x","")</f>
        <v>x</v>
      </c>
    </row>
    <row r="1083" spans="1:19" ht="15.75" customHeight="1">
      <c r="A1083" s="152" t="str">
        <f>IF(B1083&lt;&gt;"",IF(AND(B1083='IN-TC'!$S$4,OR(TH!N1083="1111",TH!O1083="1111")),TH!D1083,""),"")</f>
        <v/>
      </c>
      <c r="B1083" s="34">
        <f t="shared" si="36"/>
        <v>7</v>
      </c>
      <c r="C1083" s="35">
        <f t="shared" si="37"/>
        <v>42558</v>
      </c>
      <c r="D1083" s="212" t="s">
        <v>903</v>
      </c>
      <c r="E1083" s="35">
        <v>42558</v>
      </c>
      <c r="F1083" s="144" t="s">
        <v>810</v>
      </c>
      <c r="G1083" s="191" t="s">
        <v>209</v>
      </c>
      <c r="H1083" s="198"/>
      <c r="I1083" s="186"/>
      <c r="J1083" s="186"/>
      <c r="K1083" s="185"/>
      <c r="L1083" s="186"/>
      <c r="M1083" s="36">
        <v>1300000</v>
      </c>
      <c r="N1083" s="37"/>
      <c r="O1083" s="37" t="s">
        <v>34</v>
      </c>
      <c r="P1083" s="47" t="str">
        <f>IF(AND('331-CT'!$F$5=TH!H1083,OR(N1083="331",O1083="331")),"x","")</f>
        <v/>
      </c>
      <c r="Q1083" s="47" t="str">
        <f>IF(AND(B1083='111'!$L$11,OR($N1083=$Q$7,$O1083=$Q$7)),"x","")</f>
        <v/>
      </c>
      <c r="R1083" s="47" t="str">
        <f>IF(AND($N1083=$Q$7,$B1083&lt;'111'!$L$11),"x","")</f>
        <v/>
      </c>
      <c r="S1083" s="47" t="str">
        <f>IF(AND($O1083=$Q$7,$B1083&lt;'111'!$L$11),"x","")</f>
        <v>x</v>
      </c>
    </row>
    <row r="1084" spans="1:19" ht="15.75" customHeight="1">
      <c r="A1084" s="152" t="str">
        <f>IF(B1084&lt;&gt;"",IF(AND(B1084='IN-TC'!$S$4,OR(TH!N1084="1111",TH!O1084="1111")),TH!D1084,""),"")</f>
        <v/>
      </c>
      <c r="B1084" s="34">
        <f t="shared" si="36"/>
        <v>7</v>
      </c>
      <c r="C1084" s="35">
        <f t="shared" si="37"/>
        <v>42558</v>
      </c>
      <c r="D1084" s="212" t="s">
        <v>904</v>
      </c>
      <c r="E1084" s="35">
        <v>42558</v>
      </c>
      <c r="F1084" s="144" t="s">
        <v>591</v>
      </c>
      <c r="G1084" s="191" t="s">
        <v>230</v>
      </c>
      <c r="H1084" s="198"/>
      <c r="I1084" s="186"/>
      <c r="J1084" s="186"/>
      <c r="K1084" s="185"/>
      <c r="L1084" s="186"/>
      <c r="M1084" s="36">
        <v>10000000</v>
      </c>
      <c r="N1084" s="37"/>
      <c r="O1084" s="37" t="s">
        <v>34</v>
      </c>
      <c r="P1084" s="47" t="str">
        <f>IF(AND('331-CT'!$F$5=TH!H1084,OR(N1084="331",O1084="331")),"x","")</f>
        <v/>
      </c>
      <c r="Q1084" s="47" t="str">
        <f>IF(AND(B1084='111'!$L$11,OR($N1084=$Q$7,$O1084=$Q$7)),"x","")</f>
        <v/>
      </c>
      <c r="R1084" s="47" t="str">
        <f>IF(AND($N1084=$Q$7,$B1084&lt;'111'!$L$11),"x","")</f>
        <v/>
      </c>
      <c r="S1084" s="47" t="str">
        <f>IF(AND($O1084=$Q$7,$B1084&lt;'111'!$L$11),"x","")</f>
        <v>x</v>
      </c>
    </row>
    <row r="1085" spans="1:19" ht="15.75" customHeight="1">
      <c r="A1085" s="152" t="str">
        <f>IF(B1085&lt;&gt;"",IF(AND(B1085='IN-TC'!$S$4,OR(TH!N1085="1111",TH!O1085="1111")),TH!D1085,""),"")</f>
        <v/>
      </c>
      <c r="B1085" s="34">
        <f t="shared" si="36"/>
        <v>7</v>
      </c>
      <c r="C1085" s="35">
        <f t="shared" si="37"/>
        <v>42558</v>
      </c>
      <c r="D1085" s="212" t="s">
        <v>905</v>
      </c>
      <c r="E1085" s="35">
        <v>42558</v>
      </c>
      <c r="F1085" s="144" t="s">
        <v>811</v>
      </c>
      <c r="G1085" s="191" t="s">
        <v>219</v>
      </c>
      <c r="H1085" s="198"/>
      <c r="I1085" s="186"/>
      <c r="J1085" s="186"/>
      <c r="K1085" s="185"/>
      <c r="L1085" s="186"/>
      <c r="M1085" s="36">
        <v>3200000</v>
      </c>
      <c r="N1085" s="37"/>
      <c r="O1085" s="37" t="s">
        <v>34</v>
      </c>
      <c r="P1085" s="47" t="str">
        <f>IF(AND('331-CT'!$F$5=TH!H1085,OR(N1085="331",O1085="331")),"x","")</f>
        <v/>
      </c>
      <c r="Q1085" s="47" t="str">
        <f>IF(AND(B1085='111'!$L$11,OR($N1085=$Q$7,$O1085=$Q$7)),"x","")</f>
        <v/>
      </c>
      <c r="R1085" s="47" t="str">
        <f>IF(AND($N1085=$Q$7,$B1085&lt;'111'!$L$11),"x","")</f>
        <v/>
      </c>
      <c r="S1085" s="47" t="str">
        <f>IF(AND($O1085=$Q$7,$B1085&lt;'111'!$L$11),"x","")</f>
        <v>x</v>
      </c>
    </row>
    <row r="1086" spans="1:19" ht="15.75" customHeight="1">
      <c r="A1086" s="152" t="str">
        <f>IF(B1086&lt;&gt;"",IF(AND(B1086='IN-TC'!$S$4,OR(TH!N1086="1111",TH!O1086="1111")),TH!D1086,""),"")</f>
        <v/>
      </c>
      <c r="B1086" s="34">
        <f t="shared" si="36"/>
        <v>7</v>
      </c>
      <c r="C1086" s="35">
        <f t="shared" si="37"/>
        <v>42558</v>
      </c>
      <c r="D1086" s="212"/>
      <c r="E1086" s="35">
        <v>42558</v>
      </c>
      <c r="F1086" s="144" t="s">
        <v>1476</v>
      </c>
      <c r="G1086" s="191" t="s">
        <v>1044</v>
      </c>
      <c r="H1086" s="198" t="s">
        <v>843</v>
      </c>
      <c r="I1086" s="186">
        <v>834</v>
      </c>
      <c r="J1086" s="186">
        <v>38000</v>
      </c>
      <c r="K1086" s="185"/>
      <c r="L1086" s="186"/>
      <c r="M1086" s="36">
        <f t="shared" ref="M1086:M1091" si="38">ROUND(I1086*J1086,0)</f>
        <v>31692000</v>
      </c>
      <c r="N1086" s="37" t="s">
        <v>1443</v>
      </c>
      <c r="O1086" s="37" t="s">
        <v>8</v>
      </c>
      <c r="P1086" s="47" t="str">
        <f>IF(AND('331-CT'!$F$5=TH!H1086,OR(N1086="331",O1086="331")),"x","")</f>
        <v/>
      </c>
      <c r="Q1086" s="47" t="str">
        <f>IF(AND(B1086='111'!$L$11,OR($N1086=$Q$7,$O1086=$Q$7)),"x","")</f>
        <v/>
      </c>
      <c r="R1086" s="47" t="str">
        <f>IF(AND($N1086=$Q$7,$B1086&lt;'111'!$L$11),"x","")</f>
        <v/>
      </c>
      <c r="S1086" s="47" t="str">
        <f>IF(AND($O1086=$Q$7,$B1086&lt;'111'!$L$11),"x","")</f>
        <v/>
      </c>
    </row>
    <row r="1087" spans="1:19" ht="15.75" customHeight="1">
      <c r="A1087" s="152" t="str">
        <f>IF(B1087&lt;&gt;"",IF(AND(B1087='IN-TC'!$S$4,OR(TH!N1087="1111",TH!O1087="1111")),TH!D1087,""),"")</f>
        <v/>
      </c>
      <c r="B1087" s="34">
        <f t="shared" si="36"/>
        <v>7</v>
      </c>
      <c r="C1087" s="35">
        <f t="shared" si="37"/>
        <v>42558</v>
      </c>
      <c r="D1087" s="212"/>
      <c r="E1087" s="35">
        <v>42558</v>
      </c>
      <c r="F1087" s="144" t="s">
        <v>1476</v>
      </c>
      <c r="G1087" s="191" t="s">
        <v>1478</v>
      </c>
      <c r="H1087" s="198" t="s">
        <v>843</v>
      </c>
      <c r="I1087" s="186">
        <v>570</v>
      </c>
      <c r="J1087" s="186">
        <v>37000</v>
      </c>
      <c r="K1087" s="185"/>
      <c r="L1087" s="186"/>
      <c r="M1087" s="36">
        <f t="shared" si="38"/>
        <v>21090000</v>
      </c>
      <c r="N1087" s="37" t="s">
        <v>1443</v>
      </c>
      <c r="O1087" s="37" t="s">
        <v>8</v>
      </c>
      <c r="P1087" s="47" t="str">
        <f>IF(AND('331-CT'!$F$5=TH!H1087,OR(N1087="331",O1087="331")),"x","")</f>
        <v/>
      </c>
      <c r="Q1087" s="47" t="str">
        <f>IF(AND(B1087='111'!$L$11,OR($N1087=$Q$7,$O1087=$Q$7)),"x","")</f>
        <v/>
      </c>
      <c r="R1087" s="47" t="str">
        <f>IF(AND($N1087=$Q$7,$B1087&lt;'111'!$L$11),"x","")</f>
        <v/>
      </c>
      <c r="S1087" s="47" t="str">
        <f>IF(AND($O1087=$Q$7,$B1087&lt;'111'!$L$11),"x","")</f>
        <v/>
      </c>
    </row>
    <row r="1088" spans="1:19" ht="15.75" customHeight="1">
      <c r="A1088" s="152" t="str">
        <f>IF(B1088&lt;&gt;"",IF(AND(B1088='IN-TC'!$S$4,OR(TH!N1088="1111",TH!O1088="1111")),TH!D1088,""),"")</f>
        <v/>
      </c>
      <c r="B1088" s="34">
        <f t="shared" si="36"/>
        <v>7</v>
      </c>
      <c r="C1088" s="35">
        <f t="shared" si="37"/>
        <v>42558</v>
      </c>
      <c r="D1088" s="212"/>
      <c r="E1088" s="35">
        <v>42558</v>
      </c>
      <c r="F1088" s="144" t="s">
        <v>1466</v>
      </c>
      <c r="G1088" s="191" t="s">
        <v>204</v>
      </c>
      <c r="H1088" s="198" t="s">
        <v>832</v>
      </c>
      <c r="I1088" s="186">
        <v>475</v>
      </c>
      <c r="J1088" s="186">
        <v>15000</v>
      </c>
      <c r="K1088" s="185"/>
      <c r="L1088" s="186"/>
      <c r="M1088" s="36">
        <f t="shared" si="38"/>
        <v>7125000</v>
      </c>
      <c r="N1088" s="37" t="s">
        <v>1443</v>
      </c>
      <c r="O1088" s="37" t="s">
        <v>8</v>
      </c>
      <c r="P1088" s="47" t="str">
        <f>IF(AND('331-CT'!$F$5=TH!H1088,OR(N1088="331",O1088="331")),"x","")</f>
        <v/>
      </c>
      <c r="Q1088" s="47" t="str">
        <f>IF(AND(B1088='111'!$L$11,OR($N1088=$Q$7,$O1088=$Q$7)),"x","")</f>
        <v/>
      </c>
      <c r="R1088" s="47" t="str">
        <f>IF(AND($N1088=$Q$7,$B1088&lt;'111'!$L$11),"x","")</f>
        <v/>
      </c>
      <c r="S1088" s="47" t="str">
        <f>IF(AND($O1088=$Q$7,$B1088&lt;'111'!$L$11),"x","")</f>
        <v/>
      </c>
    </row>
    <row r="1089" spans="1:23" ht="15.75" customHeight="1">
      <c r="A1089" s="152" t="str">
        <f>IF(B1089&lt;&gt;"",IF(AND(B1089='IN-TC'!$S$4,OR(TH!N1089="1111",TH!O1089="1111")),TH!D1089,""),"")</f>
        <v/>
      </c>
      <c r="B1089" s="34">
        <f t="shared" si="36"/>
        <v>7</v>
      </c>
      <c r="C1089" s="35">
        <f t="shared" si="37"/>
        <v>42559</v>
      </c>
      <c r="D1089" s="212"/>
      <c r="E1089" s="35">
        <v>42559</v>
      </c>
      <c r="F1089" s="144" t="s">
        <v>1467</v>
      </c>
      <c r="G1089" s="191"/>
      <c r="H1089" s="198" t="s">
        <v>831</v>
      </c>
      <c r="I1089" s="186">
        <v>820</v>
      </c>
      <c r="J1089" s="186">
        <v>12000</v>
      </c>
      <c r="K1089" s="185"/>
      <c r="L1089" s="186"/>
      <c r="M1089" s="36">
        <f t="shared" si="38"/>
        <v>9840000</v>
      </c>
      <c r="N1089" s="37" t="s">
        <v>1443</v>
      </c>
      <c r="O1089" s="37" t="s">
        <v>8</v>
      </c>
      <c r="P1089" s="47" t="str">
        <f>IF(AND('331-CT'!$F$5=TH!H1089,OR(N1089="331",O1089="331")),"x","")</f>
        <v/>
      </c>
      <c r="Q1089" s="47" t="str">
        <f>IF(AND(B1089='111'!$L$11,OR($N1089=$Q$7,$O1089=$Q$7)),"x","")</f>
        <v/>
      </c>
      <c r="R1089" s="47" t="str">
        <f>IF(AND($N1089=$Q$7,$B1089&lt;'111'!$L$11),"x","")</f>
        <v/>
      </c>
      <c r="S1089" s="47" t="str">
        <f>IF(AND($O1089=$Q$7,$B1089&lt;'111'!$L$11),"x","")</f>
        <v/>
      </c>
    </row>
    <row r="1090" spans="1:23" ht="15.75" customHeight="1">
      <c r="A1090" s="152" t="str">
        <f>IF(B1090&lt;&gt;"",IF(AND(B1090='IN-TC'!$S$4,OR(TH!N1090="1111",TH!O1090="1111")),TH!D1090,""),"")</f>
        <v/>
      </c>
      <c r="B1090" s="34">
        <f t="shared" si="36"/>
        <v>7</v>
      </c>
      <c r="C1090" s="35">
        <f t="shared" si="37"/>
        <v>42559</v>
      </c>
      <c r="D1090" s="212"/>
      <c r="E1090" s="35">
        <v>42559</v>
      </c>
      <c r="F1090" s="144" t="s">
        <v>1476</v>
      </c>
      <c r="G1090" s="191" t="s">
        <v>1044</v>
      </c>
      <c r="H1090" s="198" t="s">
        <v>843</v>
      </c>
      <c r="I1090" s="186">
        <v>952</v>
      </c>
      <c r="J1090" s="186">
        <v>38000</v>
      </c>
      <c r="K1090" s="185"/>
      <c r="L1090" s="186"/>
      <c r="M1090" s="36">
        <f t="shared" si="38"/>
        <v>36176000</v>
      </c>
      <c r="N1090" s="37" t="s">
        <v>1443</v>
      </c>
      <c r="O1090" s="37" t="s">
        <v>8</v>
      </c>
      <c r="P1090" s="47" t="str">
        <f>IF(AND('331-CT'!$F$5=TH!H1090,OR(N1090="331",O1090="331")),"x","")</f>
        <v/>
      </c>
      <c r="Q1090" s="47" t="str">
        <f>IF(AND(B1090='111'!$L$11,OR($N1090=$Q$7,$O1090=$Q$7)),"x","")</f>
        <v/>
      </c>
      <c r="R1090" s="47" t="str">
        <f>IF(AND($N1090=$Q$7,$B1090&lt;'111'!$L$11),"x","")</f>
        <v/>
      </c>
      <c r="S1090" s="47" t="str">
        <f>IF(AND($O1090=$Q$7,$B1090&lt;'111'!$L$11),"x","")</f>
        <v/>
      </c>
    </row>
    <row r="1091" spans="1:23" ht="15.75" customHeight="1">
      <c r="A1091" s="152" t="str">
        <f>IF(B1091&lt;&gt;"",IF(AND(B1091='IN-TC'!$S$4,OR(TH!N1091="1111",TH!O1091="1111")),TH!D1091,""),"")</f>
        <v/>
      </c>
      <c r="B1091" s="34">
        <f t="shared" si="36"/>
        <v>7</v>
      </c>
      <c r="C1091" s="35">
        <f t="shared" si="37"/>
        <v>42559</v>
      </c>
      <c r="D1091" s="212"/>
      <c r="E1091" s="35">
        <v>42559</v>
      </c>
      <c r="F1091" s="144" t="s">
        <v>1476</v>
      </c>
      <c r="G1091" s="191" t="s">
        <v>1478</v>
      </c>
      <c r="H1091" s="198" t="s">
        <v>843</v>
      </c>
      <c r="I1091" s="186">
        <v>345</v>
      </c>
      <c r="J1091" s="186">
        <v>37000</v>
      </c>
      <c r="K1091" s="185"/>
      <c r="L1091" s="186"/>
      <c r="M1091" s="36">
        <f t="shared" si="38"/>
        <v>12765000</v>
      </c>
      <c r="N1091" s="37" t="s">
        <v>1443</v>
      </c>
      <c r="O1091" s="37" t="s">
        <v>8</v>
      </c>
      <c r="P1091" s="47" t="str">
        <f>IF(AND('331-CT'!$F$5=TH!H1091,OR(N1091="331",O1091="331")),"x","")</f>
        <v/>
      </c>
      <c r="Q1091" s="47" t="str">
        <f>IF(AND(B1091='111'!$L$11,OR($N1091=$Q$7,$O1091=$Q$7)),"x","")</f>
        <v/>
      </c>
      <c r="R1091" s="47" t="str">
        <f>IF(AND($N1091=$Q$7,$B1091&lt;'111'!$L$11),"x","")</f>
        <v/>
      </c>
      <c r="S1091" s="47" t="str">
        <f>IF(AND($O1091=$Q$7,$B1091&lt;'111'!$L$11),"x","")</f>
        <v/>
      </c>
    </row>
    <row r="1092" spans="1:23" ht="15.75" customHeight="1">
      <c r="A1092" s="152" t="str">
        <f>IF(B1092&lt;&gt;"",IF(AND(B1092='IN-TC'!$S$4,OR(TH!N1092="1111",TH!O1092="1111")),TH!D1092,""),"")</f>
        <v/>
      </c>
      <c r="B1092" s="34">
        <f t="shared" si="36"/>
        <v>7</v>
      </c>
      <c r="C1092" s="35">
        <f t="shared" si="37"/>
        <v>42560</v>
      </c>
      <c r="D1092" s="212" t="s">
        <v>906</v>
      </c>
      <c r="E1092" s="35">
        <v>42560</v>
      </c>
      <c r="F1092" s="144" t="s">
        <v>850</v>
      </c>
      <c r="G1092" s="191" t="s">
        <v>206</v>
      </c>
      <c r="H1092" s="198" t="s">
        <v>851</v>
      </c>
      <c r="I1092" s="186"/>
      <c r="J1092" s="186"/>
      <c r="K1092" s="185"/>
      <c r="L1092" s="186"/>
      <c r="M1092" s="36">
        <v>259134000</v>
      </c>
      <c r="N1092" s="37" t="s">
        <v>8</v>
      </c>
      <c r="O1092" s="37" t="s">
        <v>34</v>
      </c>
      <c r="P1092" s="47" t="str">
        <f>IF(AND('331-CT'!$F$5=TH!H1092,OR(N1092="331",O1092="331")),"x","")</f>
        <v/>
      </c>
      <c r="Q1092" s="47" t="str">
        <f>IF(AND(B1092='111'!$L$11,OR($N1092=$Q$7,$O1092=$Q$7)),"x","")</f>
        <v/>
      </c>
      <c r="R1092" s="47" t="str">
        <f>IF(AND($N1092=$Q$7,$B1092&lt;'111'!$L$11),"x","")</f>
        <v/>
      </c>
      <c r="S1092" s="47" t="str">
        <f>IF(AND($O1092=$Q$7,$B1092&lt;'111'!$L$11),"x","")</f>
        <v>x</v>
      </c>
    </row>
    <row r="1093" spans="1:23" ht="15.75" customHeight="1">
      <c r="A1093" s="152" t="str">
        <f>IF(B1093&lt;&gt;"",IF(AND(B1093='IN-TC'!$S$4,OR(TH!N1093="1111",TH!O1093="1111")),TH!D1093,""),"")</f>
        <v/>
      </c>
      <c r="B1093" s="34">
        <f t="shared" si="36"/>
        <v>7</v>
      </c>
      <c r="C1093" s="35">
        <f t="shared" si="37"/>
        <v>42560</v>
      </c>
      <c r="D1093" s="212" t="s">
        <v>907</v>
      </c>
      <c r="E1093" s="35">
        <v>42560</v>
      </c>
      <c r="F1093" s="144" t="s">
        <v>850</v>
      </c>
      <c r="G1093" s="191" t="s">
        <v>206</v>
      </c>
      <c r="H1093" s="198" t="s">
        <v>846</v>
      </c>
      <c r="I1093" s="186"/>
      <c r="J1093" s="186"/>
      <c r="K1093" s="185"/>
      <c r="L1093" s="186"/>
      <c r="M1093" s="36">
        <v>109300000</v>
      </c>
      <c r="N1093" s="37" t="s">
        <v>8</v>
      </c>
      <c r="O1093" s="37" t="s">
        <v>34</v>
      </c>
      <c r="P1093" s="47" t="str">
        <f>IF(AND('331-CT'!$F$5=TH!H1093,OR(N1093="331",O1093="331")),"x","")</f>
        <v/>
      </c>
      <c r="Q1093" s="47" t="str">
        <f>IF(AND(B1093='111'!$L$11,OR($N1093=$Q$7,$O1093=$Q$7)),"x","")</f>
        <v/>
      </c>
      <c r="R1093" s="47" t="str">
        <f>IF(AND($N1093=$Q$7,$B1093&lt;'111'!$L$11),"x","")</f>
        <v/>
      </c>
      <c r="S1093" s="47" t="str">
        <f>IF(AND($O1093=$Q$7,$B1093&lt;'111'!$L$11),"x","")</f>
        <v>x</v>
      </c>
    </row>
    <row r="1094" spans="1:23" ht="15.75" customHeight="1">
      <c r="A1094" s="152" t="str">
        <f>IF(B1094&lt;&gt;"",IF(AND(B1094='IN-TC'!$S$4,OR(TH!N1094="1111",TH!O1094="1111")),TH!D1094,""),"")</f>
        <v/>
      </c>
      <c r="B1094" s="34">
        <f t="shared" si="36"/>
        <v>7</v>
      </c>
      <c r="C1094" s="35">
        <f t="shared" si="37"/>
        <v>42560</v>
      </c>
      <c r="D1094" s="212" t="s">
        <v>908</v>
      </c>
      <c r="E1094" s="35">
        <v>42560</v>
      </c>
      <c r="F1094" s="144" t="s">
        <v>203</v>
      </c>
      <c r="G1094" s="191" t="s">
        <v>203</v>
      </c>
      <c r="H1094" s="198" t="s">
        <v>1414</v>
      </c>
      <c r="I1094" s="186"/>
      <c r="J1094" s="186"/>
      <c r="K1094" s="185"/>
      <c r="L1094" s="186"/>
      <c r="M1094" s="36">
        <v>5017000</v>
      </c>
      <c r="N1094" s="37" t="s">
        <v>814</v>
      </c>
      <c r="O1094" s="37" t="s">
        <v>34</v>
      </c>
      <c r="P1094" s="47" t="str">
        <f>IF(AND('331-CT'!$F$5=TH!H1094,OR(N1094="331",O1094="331")),"x","")</f>
        <v/>
      </c>
      <c r="Q1094" s="47" t="str">
        <f>IF(AND(B1094='111'!$L$11,OR($N1094=$Q$7,$O1094=$Q$7)),"x","")</f>
        <v/>
      </c>
      <c r="R1094" s="47" t="str">
        <f>IF(AND($N1094=$Q$7,$B1094&lt;'111'!$L$11),"x","")</f>
        <v/>
      </c>
      <c r="S1094" s="47" t="str">
        <f>IF(AND($O1094=$Q$7,$B1094&lt;'111'!$L$11),"x","")</f>
        <v>x</v>
      </c>
    </row>
    <row r="1095" spans="1:23" ht="15.75" customHeight="1">
      <c r="A1095" s="152" t="str">
        <f>IF(B1095&lt;&gt;"",IF(AND(B1095='IN-TC'!$S$4,OR(TH!N1095="1111",TH!O1095="1111")),TH!D1095,""),"")</f>
        <v/>
      </c>
      <c r="B1095" s="34">
        <f t="shared" si="36"/>
        <v>7</v>
      </c>
      <c r="C1095" s="35">
        <f t="shared" si="37"/>
        <v>42560</v>
      </c>
      <c r="D1095" s="212" t="s">
        <v>909</v>
      </c>
      <c r="E1095" s="35">
        <v>42560</v>
      </c>
      <c r="F1095" s="144" t="s">
        <v>852</v>
      </c>
      <c r="G1095" s="191"/>
      <c r="H1095" s="198"/>
      <c r="I1095" s="186"/>
      <c r="J1095" s="186"/>
      <c r="K1095" s="185"/>
      <c r="L1095" s="186"/>
      <c r="M1095" s="36">
        <v>300000</v>
      </c>
      <c r="N1095" s="37"/>
      <c r="O1095" s="37" t="s">
        <v>34</v>
      </c>
      <c r="P1095" s="47" t="str">
        <f>IF(AND('331-CT'!$F$5=TH!H1095,OR(N1095="331",O1095="331")),"x","")</f>
        <v/>
      </c>
      <c r="Q1095" s="47" t="str">
        <f>IF(AND(B1095='111'!$L$11,OR($N1095=$Q$7,$O1095=$Q$7)),"x","")</f>
        <v/>
      </c>
      <c r="R1095" s="47" t="str">
        <f>IF(AND($N1095=$Q$7,$B1095&lt;'111'!$L$11),"x","")</f>
        <v/>
      </c>
      <c r="S1095" s="47" t="str">
        <f>IF(AND($O1095=$Q$7,$B1095&lt;'111'!$L$11),"x","")</f>
        <v>x</v>
      </c>
    </row>
    <row r="1096" spans="1:23" ht="15.75" customHeight="1">
      <c r="A1096" s="152" t="str">
        <f>IF(B1096&lt;&gt;"",IF(AND(B1096='IN-TC'!$S$4,OR(TH!N1096="1111",TH!O1096="1111")),TH!D1096,""),"")</f>
        <v/>
      </c>
      <c r="B1096" s="34">
        <f t="shared" si="36"/>
        <v>7</v>
      </c>
      <c r="C1096" s="35">
        <f t="shared" si="37"/>
        <v>42560</v>
      </c>
      <c r="D1096" s="212" t="s">
        <v>910</v>
      </c>
      <c r="E1096" s="35">
        <v>42560</v>
      </c>
      <c r="F1096" s="144" t="s">
        <v>258</v>
      </c>
      <c r="G1096" s="191"/>
      <c r="H1096" s="198"/>
      <c r="I1096" s="186"/>
      <c r="J1096" s="186"/>
      <c r="K1096" s="185"/>
      <c r="L1096" s="186"/>
      <c r="M1096" s="36">
        <v>2207000</v>
      </c>
      <c r="N1096" s="37"/>
      <c r="O1096" s="37" t="s">
        <v>34</v>
      </c>
      <c r="P1096" s="47" t="str">
        <f>IF(AND('331-CT'!$F$5=TH!H1096,OR(N1096="331",O1096="331")),"x","")</f>
        <v/>
      </c>
      <c r="Q1096" s="47" t="str">
        <f>IF(AND(B1096='111'!$L$11,OR($N1096=$Q$7,$O1096=$Q$7)),"x","")</f>
        <v/>
      </c>
      <c r="R1096" s="47" t="str">
        <f>IF(AND($N1096=$Q$7,$B1096&lt;'111'!$L$11),"x","")</f>
        <v/>
      </c>
      <c r="S1096" s="47" t="str">
        <f>IF(AND($O1096=$Q$7,$B1096&lt;'111'!$L$11),"x","")</f>
        <v>x</v>
      </c>
    </row>
    <row r="1097" spans="1:23" s="207" customFormat="1" ht="15.75" customHeight="1">
      <c r="A1097" s="152" t="str">
        <f>IF(B1097&lt;&gt;"",IF(AND(B1097='IN-TC'!$S$4,OR(TH!N1097="1111",TH!O1097="1111")),TH!D1097,""),"")</f>
        <v/>
      </c>
      <c r="B1097" s="34">
        <f t="shared" si="36"/>
        <v>7</v>
      </c>
      <c r="C1097" s="35">
        <f t="shared" si="37"/>
        <v>42560</v>
      </c>
      <c r="D1097" s="212" t="s">
        <v>911</v>
      </c>
      <c r="E1097" s="35">
        <v>42560</v>
      </c>
      <c r="F1097" s="144" t="s">
        <v>853</v>
      </c>
      <c r="G1097" s="191"/>
      <c r="H1097" s="198"/>
      <c r="I1097" s="186"/>
      <c r="J1097" s="186"/>
      <c r="K1097" s="185"/>
      <c r="L1097" s="186"/>
      <c r="M1097" s="36">
        <v>1344000</v>
      </c>
      <c r="N1097" s="37"/>
      <c r="O1097" s="37" t="s">
        <v>34</v>
      </c>
      <c r="P1097" s="47" t="str">
        <f>IF(AND('331-CT'!$F$5=TH!H1097,OR(N1097="331",O1097="331")),"x","")</f>
        <v/>
      </c>
      <c r="Q1097" s="47" t="str">
        <f>IF(AND(B1097='111'!$L$11,OR($N1097=$Q$7,$O1097=$Q$7)),"x","")</f>
        <v/>
      </c>
      <c r="R1097" s="47" t="str">
        <f>IF(AND($N1097=$Q$7,$B1097&lt;'111'!$L$11),"x","")</f>
        <v/>
      </c>
      <c r="S1097" s="47" t="str">
        <f>IF(AND($O1097=$Q$7,$B1097&lt;'111'!$L$11),"x","")</f>
        <v>x</v>
      </c>
      <c r="T1097" s="147"/>
      <c r="U1097" s="147"/>
      <c r="V1097" s="147"/>
      <c r="W1097" s="147"/>
    </row>
    <row r="1098" spans="1:23" ht="15.75" customHeight="1">
      <c r="A1098" s="152" t="str">
        <f>IF(B1098&lt;&gt;"",IF(AND(B1098='IN-TC'!$S$4,OR(TH!N1098="1111",TH!O1098="1111")),TH!D1098,""),"")</f>
        <v/>
      </c>
      <c r="B1098" s="34">
        <f t="shared" si="36"/>
        <v>7</v>
      </c>
      <c r="C1098" s="35">
        <f t="shared" si="37"/>
        <v>42560</v>
      </c>
      <c r="D1098" s="212" t="s">
        <v>912</v>
      </c>
      <c r="E1098" s="35">
        <v>42560</v>
      </c>
      <c r="F1098" s="144" t="s">
        <v>854</v>
      </c>
      <c r="G1098" s="191"/>
      <c r="H1098" s="198"/>
      <c r="I1098" s="186"/>
      <c r="J1098" s="186"/>
      <c r="K1098" s="185"/>
      <c r="L1098" s="186"/>
      <c r="M1098" s="36">
        <v>6500000</v>
      </c>
      <c r="N1098" s="37"/>
      <c r="O1098" s="37" t="s">
        <v>34</v>
      </c>
      <c r="P1098" s="47" t="str">
        <f>IF(AND('331-CT'!$F$5=TH!H1098,OR(N1098="331",O1098="331")),"x","")</f>
        <v/>
      </c>
      <c r="Q1098" s="47" t="str">
        <f>IF(AND(B1098='111'!$L$11,OR($N1098=$Q$7,$O1098=$Q$7)),"x","")</f>
        <v/>
      </c>
      <c r="R1098" s="47" t="str">
        <f>IF(AND($N1098=$Q$7,$B1098&lt;'111'!$L$11),"x","")</f>
        <v/>
      </c>
      <c r="S1098" s="47" t="str">
        <f>IF(AND($O1098=$Q$7,$B1098&lt;'111'!$L$11),"x","")</f>
        <v>x</v>
      </c>
      <c r="U1098" s="207"/>
      <c r="V1098" s="207"/>
      <c r="W1098" s="207"/>
    </row>
    <row r="1099" spans="1:23" ht="15.75" customHeight="1">
      <c r="A1099" s="152" t="str">
        <f>IF(B1099&lt;&gt;"",IF(AND(B1099='IN-TC'!$S$4,OR(TH!N1099="1111",TH!O1099="1111")),TH!D1099,""),"")</f>
        <v/>
      </c>
      <c r="B1099" s="34">
        <f t="shared" si="36"/>
        <v>7</v>
      </c>
      <c r="C1099" s="35">
        <f t="shared" si="37"/>
        <v>42560</v>
      </c>
      <c r="D1099" s="212" t="s">
        <v>913</v>
      </c>
      <c r="E1099" s="35">
        <v>42560</v>
      </c>
      <c r="F1099" s="144" t="s">
        <v>855</v>
      </c>
      <c r="G1099" s="191"/>
      <c r="H1099" s="198"/>
      <c r="I1099" s="186"/>
      <c r="J1099" s="186"/>
      <c r="K1099" s="185"/>
      <c r="L1099" s="186"/>
      <c r="M1099" s="36">
        <v>11500000</v>
      </c>
      <c r="N1099" s="37"/>
      <c r="O1099" s="37" t="s">
        <v>34</v>
      </c>
      <c r="P1099" s="47" t="str">
        <f>IF(AND('331-CT'!$F$5=TH!H1099,OR(N1099="331",O1099="331")),"x","")</f>
        <v/>
      </c>
      <c r="Q1099" s="47" t="str">
        <f>IF(AND(B1099='111'!$L$11,OR($N1099=$Q$7,$O1099=$Q$7)),"x","")</f>
        <v/>
      </c>
      <c r="R1099" s="47" t="str">
        <f>IF(AND($N1099=$Q$7,$B1099&lt;'111'!$L$11),"x","")</f>
        <v/>
      </c>
      <c r="S1099" s="47" t="str">
        <f>IF(AND($O1099=$Q$7,$B1099&lt;'111'!$L$11),"x","")</f>
        <v>x</v>
      </c>
    </row>
    <row r="1100" spans="1:23" ht="15.75" customHeight="1">
      <c r="A1100" s="152" t="str">
        <f>IF(B1100&lt;&gt;"",IF(AND(B1100='IN-TC'!$S$4,OR(TH!N1100="1111",TH!O1100="1111")),TH!D1100,""),"")</f>
        <v/>
      </c>
      <c r="B1100" s="34">
        <f t="shared" si="36"/>
        <v>7</v>
      </c>
      <c r="C1100" s="35">
        <f t="shared" si="37"/>
        <v>42561</v>
      </c>
      <c r="D1100" s="212"/>
      <c r="E1100" s="35">
        <v>42561</v>
      </c>
      <c r="F1100" s="144" t="s">
        <v>1467</v>
      </c>
      <c r="G1100" s="191"/>
      <c r="H1100" s="198" t="s">
        <v>831</v>
      </c>
      <c r="I1100" s="186">
        <v>1160</v>
      </c>
      <c r="J1100" s="186">
        <v>12000</v>
      </c>
      <c r="K1100" s="185"/>
      <c r="L1100" s="186"/>
      <c r="M1100" s="36">
        <f>ROUND(I1100*J1100,0)</f>
        <v>13920000</v>
      </c>
      <c r="N1100" s="37" t="s">
        <v>1443</v>
      </c>
      <c r="O1100" s="37" t="s">
        <v>8</v>
      </c>
      <c r="P1100" s="47" t="str">
        <f>IF(AND('331-CT'!$F$5=TH!H1100,OR(N1100="331",O1100="331")),"x","")</f>
        <v/>
      </c>
      <c r="Q1100" s="47" t="str">
        <f>IF(AND(B1100='111'!$L$11,OR($N1100=$Q$7,$O1100=$Q$7)),"x","")</f>
        <v/>
      </c>
      <c r="R1100" s="47" t="str">
        <f>IF(AND($N1100=$Q$7,$B1100&lt;'111'!$L$11),"x","")</f>
        <v/>
      </c>
      <c r="S1100" s="47" t="str">
        <f>IF(AND($O1100=$Q$7,$B1100&lt;'111'!$L$11),"x","")</f>
        <v/>
      </c>
    </row>
    <row r="1101" spans="1:23" ht="15.75" customHeight="1">
      <c r="A1101" s="152" t="str">
        <f>IF(B1101&lt;&gt;"",IF(AND(B1101='IN-TC'!$S$4,OR(TH!N1101="1111",TH!O1101="1111")),TH!D1101,""),"")</f>
        <v/>
      </c>
      <c r="B1101" s="34">
        <f t="shared" ref="B1101:B1164" si="39">IF(C1101&lt;&gt;"",MONTH(C1101),"")</f>
        <v>7</v>
      </c>
      <c r="C1101" s="35">
        <f t="shared" ref="C1101:C1164" si="40">E1101</f>
        <v>42561</v>
      </c>
      <c r="D1101" s="212"/>
      <c r="E1101" s="35">
        <v>42561</v>
      </c>
      <c r="F1101" s="144" t="s">
        <v>1476</v>
      </c>
      <c r="G1101" s="191" t="s">
        <v>1477</v>
      </c>
      <c r="H1101" s="198" t="s">
        <v>843</v>
      </c>
      <c r="I1101" s="186">
        <v>400</v>
      </c>
      <c r="J1101" s="186">
        <v>41000</v>
      </c>
      <c r="K1101" s="185"/>
      <c r="L1101" s="186"/>
      <c r="M1101" s="36">
        <f>ROUND(I1101*J1101,0)</f>
        <v>16400000</v>
      </c>
      <c r="N1101" s="37" t="s">
        <v>1443</v>
      </c>
      <c r="O1101" s="37" t="s">
        <v>8</v>
      </c>
      <c r="P1101" s="47" t="str">
        <f>IF(AND('331-CT'!$F$5=TH!H1101,OR(N1101="331",O1101="331")),"x","")</f>
        <v/>
      </c>
      <c r="Q1101" s="47" t="str">
        <f>IF(AND(B1101='111'!$L$11,OR($N1101=$Q$7,$O1101=$Q$7)),"x","")</f>
        <v/>
      </c>
      <c r="R1101" s="47" t="str">
        <f>IF(AND($N1101=$Q$7,$B1101&lt;'111'!$L$11),"x","")</f>
        <v/>
      </c>
      <c r="S1101" s="47" t="str">
        <f>IF(AND($O1101=$Q$7,$B1101&lt;'111'!$L$11),"x","")</f>
        <v/>
      </c>
    </row>
    <row r="1102" spans="1:23" ht="15.75" customHeight="1">
      <c r="A1102" s="152" t="str">
        <f>IF(B1102&lt;&gt;"",IF(AND(B1102='IN-TC'!$S$4,OR(TH!N1102="1111",TH!O1102="1111")),TH!D1102,""),"")</f>
        <v/>
      </c>
      <c r="B1102" s="34">
        <f t="shared" si="39"/>
        <v>7</v>
      </c>
      <c r="C1102" s="35">
        <f t="shared" si="40"/>
        <v>42561</v>
      </c>
      <c r="D1102" s="212"/>
      <c r="E1102" s="35">
        <v>42561</v>
      </c>
      <c r="F1102" s="144" t="s">
        <v>1476</v>
      </c>
      <c r="G1102" s="191" t="s">
        <v>1478</v>
      </c>
      <c r="H1102" s="198" t="s">
        <v>843</v>
      </c>
      <c r="I1102" s="186">
        <v>140</v>
      </c>
      <c r="J1102" s="186">
        <v>37000</v>
      </c>
      <c r="K1102" s="185"/>
      <c r="L1102" s="186"/>
      <c r="M1102" s="36">
        <f>ROUND(I1102*J1102,0)</f>
        <v>5180000</v>
      </c>
      <c r="N1102" s="37" t="s">
        <v>1443</v>
      </c>
      <c r="O1102" s="37" t="s">
        <v>8</v>
      </c>
      <c r="P1102" s="47" t="str">
        <f>IF(AND('331-CT'!$F$5=TH!H1102,OR(N1102="331",O1102="331")),"x","")</f>
        <v/>
      </c>
      <c r="Q1102" s="47" t="str">
        <f>IF(AND(B1102='111'!$L$11,OR($N1102=$Q$7,$O1102=$Q$7)),"x","")</f>
        <v/>
      </c>
      <c r="R1102" s="47" t="str">
        <f>IF(AND($N1102=$Q$7,$B1102&lt;'111'!$L$11),"x","")</f>
        <v/>
      </c>
      <c r="S1102" s="47" t="str">
        <f>IF(AND($O1102=$Q$7,$B1102&lt;'111'!$L$11),"x","")</f>
        <v/>
      </c>
    </row>
    <row r="1103" spans="1:23" ht="15.75" customHeight="1">
      <c r="A1103" s="152" t="str">
        <f>IF(B1103&lt;&gt;"",IF(AND(B1103='IN-TC'!$S$4,OR(TH!N1103="1111",TH!O1103="1111")),TH!D1103,""),"")</f>
        <v/>
      </c>
      <c r="B1103" s="34">
        <f t="shared" si="39"/>
        <v>7</v>
      </c>
      <c r="C1103" s="35">
        <f t="shared" si="40"/>
        <v>42561</v>
      </c>
      <c r="D1103" s="212"/>
      <c r="E1103" s="35">
        <v>42561</v>
      </c>
      <c r="F1103" s="144" t="s">
        <v>1493</v>
      </c>
      <c r="G1103" s="191" t="s">
        <v>204</v>
      </c>
      <c r="H1103" s="198" t="s">
        <v>828</v>
      </c>
      <c r="I1103" s="186">
        <v>389</v>
      </c>
      <c r="J1103" s="186">
        <v>30000</v>
      </c>
      <c r="K1103" s="185"/>
      <c r="L1103" s="186"/>
      <c r="M1103" s="36">
        <f>ROUND(I1103*J1103,-3)</f>
        <v>11670000</v>
      </c>
      <c r="N1103" s="37" t="s">
        <v>1443</v>
      </c>
      <c r="O1103" s="37" t="s">
        <v>8</v>
      </c>
      <c r="P1103" s="47" t="str">
        <f>IF(AND('331-CT'!$F$5=TH!H1103,OR(N1103="331",O1103="331")),"x","")</f>
        <v/>
      </c>
      <c r="Q1103" s="47" t="str">
        <f>IF(AND(B1103='111'!$L$11,OR($N1103=$Q$7,$O1103=$Q$7)),"x","")</f>
        <v/>
      </c>
      <c r="R1103" s="47" t="str">
        <f>IF(AND($N1103=$Q$7,$B1103&lt;'111'!$L$11),"x","")</f>
        <v/>
      </c>
      <c r="S1103" s="47" t="str">
        <f>IF(AND($O1103=$Q$7,$B1103&lt;'111'!$L$11),"x","")</f>
        <v/>
      </c>
    </row>
    <row r="1104" spans="1:23" ht="15.75" customHeight="1">
      <c r="A1104" s="152" t="str">
        <f>IF(B1104&lt;&gt;"",IF(AND(B1104='IN-TC'!$S$4,OR(TH!N1104="1111",TH!O1104="1111")),TH!D1104,""),"")</f>
        <v/>
      </c>
      <c r="B1104" s="34">
        <f t="shared" si="39"/>
        <v>7</v>
      </c>
      <c r="C1104" s="35">
        <f t="shared" si="40"/>
        <v>42561</v>
      </c>
      <c r="D1104" s="212"/>
      <c r="E1104" s="35">
        <v>42561</v>
      </c>
      <c r="F1104" s="144" t="s">
        <v>1494</v>
      </c>
      <c r="G1104" s="191" t="s">
        <v>204</v>
      </c>
      <c r="H1104" s="198" t="s">
        <v>828</v>
      </c>
      <c r="I1104" s="186">
        <v>853</v>
      </c>
      <c r="J1104" s="186">
        <v>26000</v>
      </c>
      <c r="K1104" s="185"/>
      <c r="L1104" s="186"/>
      <c r="M1104" s="36">
        <f>ROUND(I1104*J1104,-3)</f>
        <v>22178000</v>
      </c>
      <c r="N1104" s="37" t="s">
        <v>1443</v>
      </c>
      <c r="O1104" s="37" t="s">
        <v>8</v>
      </c>
      <c r="P1104" s="47" t="str">
        <f>IF(AND('331-CT'!$F$5=TH!H1104,OR(N1104="331",O1104="331")),"x","")</f>
        <v/>
      </c>
      <c r="Q1104" s="47" t="str">
        <f>IF(AND(B1104='111'!$L$11,OR($N1104=$Q$7,$O1104=$Q$7)),"x","")</f>
        <v/>
      </c>
      <c r="R1104" s="47" t="str">
        <f>IF(AND($N1104=$Q$7,$B1104&lt;'111'!$L$11),"x","")</f>
        <v/>
      </c>
      <c r="S1104" s="47" t="str">
        <f>IF(AND($O1104=$Q$7,$B1104&lt;'111'!$L$11),"x","")</f>
        <v/>
      </c>
    </row>
    <row r="1105" spans="1:19" ht="15.75" customHeight="1">
      <c r="A1105" s="152" t="str">
        <f>IF(B1105&lt;&gt;"",IF(AND(B1105='IN-TC'!$S$4,OR(TH!N1105="1111",TH!O1105="1111")),TH!D1105,""),"")</f>
        <v/>
      </c>
      <c r="B1105" s="34">
        <f t="shared" si="39"/>
        <v>7</v>
      </c>
      <c r="C1105" s="35">
        <f t="shared" si="40"/>
        <v>42561</v>
      </c>
      <c r="D1105" s="212"/>
      <c r="E1105" s="35">
        <v>42561</v>
      </c>
      <c r="F1105" s="144" t="s">
        <v>1473</v>
      </c>
      <c r="G1105" s="191" t="s">
        <v>204</v>
      </c>
      <c r="H1105" s="198" t="s">
        <v>828</v>
      </c>
      <c r="I1105" s="186">
        <v>25</v>
      </c>
      <c r="J1105" s="186">
        <v>26000</v>
      </c>
      <c r="K1105" s="185"/>
      <c r="L1105" s="186"/>
      <c r="M1105" s="36">
        <f>ROUND(I1105*J1105,-3)</f>
        <v>650000</v>
      </c>
      <c r="N1105" s="37" t="s">
        <v>1443</v>
      </c>
      <c r="O1105" s="37" t="s">
        <v>8</v>
      </c>
      <c r="P1105" s="47" t="str">
        <f>IF(AND('331-CT'!$F$5=TH!H1105,OR(N1105="331",O1105="331")),"x","")</f>
        <v/>
      </c>
      <c r="Q1105" s="47" t="str">
        <f>IF(AND(B1105='111'!$L$11,OR($N1105=$Q$7,$O1105=$Q$7)),"x","")</f>
        <v/>
      </c>
      <c r="R1105" s="47" t="str">
        <f>IF(AND($N1105=$Q$7,$B1105&lt;'111'!$L$11),"x","")</f>
        <v/>
      </c>
      <c r="S1105" s="47" t="str">
        <f>IF(AND($O1105=$Q$7,$B1105&lt;'111'!$L$11),"x","")</f>
        <v/>
      </c>
    </row>
    <row r="1106" spans="1:19" ht="15.75" customHeight="1">
      <c r="A1106" s="152" t="str">
        <f>IF(B1106&lt;&gt;"",IF(AND(B1106='IN-TC'!$S$4,OR(TH!N1106="1111",TH!O1106="1111")),TH!D1106,""),"")</f>
        <v/>
      </c>
      <c r="B1106" s="34">
        <f t="shared" si="39"/>
        <v>7</v>
      </c>
      <c r="C1106" s="35">
        <f t="shared" si="40"/>
        <v>42561</v>
      </c>
      <c r="D1106" s="212"/>
      <c r="E1106" s="35">
        <v>42561</v>
      </c>
      <c r="F1106" s="144" t="s">
        <v>1497</v>
      </c>
      <c r="G1106" s="191" t="s">
        <v>204</v>
      </c>
      <c r="H1106" s="198" t="s">
        <v>828</v>
      </c>
      <c r="I1106" s="186">
        <v>11</v>
      </c>
      <c r="J1106" s="186">
        <v>15000</v>
      </c>
      <c r="K1106" s="185"/>
      <c r="L1106" s="186"/>
      <c r="M1106" s="36">
        <f>ROUND(I1106*J1106,-3)</f>
        <v>165000</v>
      </c>
      <c r="N1106" s="37" t="s">
        <v>1443</v>
      </c>
      <c r="O1106" s="37" t="s">
        <v>8</v>
      </c>
      <c r="P1106" s="47" t="str">
        <f>IF(AND('331-CT'!$F$5=TH!H1106,OR(N1106="331",O1106="331")),"x","")</f>
        <v/>
      </c>
      <c r="Q1106" s="47" t="str">
        <f>IF(AND(B1106='111'!$L$11,OR($N1106=$Q$7,$O1106=$Q$7)),"x","")</f>
        <v/>
      </c>
      <c r="R1106" s="47" t="str">
        <f>IF(AND($N1106=$Q$7,$B1106&lt;'111'!$L$11),"x","")</f>
        <v/>
      </c>
      <c r="S1106" s="47" t="str">
        <f>IF(AND($O1106=$Q$7,$B1106&lt;'111'!$L$11),"x","")</f>
        <v/>
      </c>
    </row>
    <row r="1107" spans="1:19" ht="15.75" customHeight="1">
      <c r="A1107" s="152" t="str">
        <f>IF(B1107&lt;&gt;"",IF(AND(B1107='IN-TC'!$S$4,OR(TH!N1107="1111",TH!O1107="1111")),TH!D1107,""),"")</f>
        <v/>
      </c>
      <c r="B1107" s="34">
        <f t="shared" si="39"/>
        <v>7</v>
      </c>
      <c r="C1107" s="35">
        <f t="shared" si="40"/>
        <v>42562</v>
      </c>
      <c r="D1107" s="212" t="s">
        <v>930</v>
      </c>
      <c r="E1107" s="35">
        <v>42562</v>
      </c>
      <c r="F1107" s="144" t="s">
        <v>856</v>
      </c>
      <c r="G1107" s="191"/>
      <c r="H1107" s="198"/>
      <c r="I1107" s="186"/>
      <c r="J1107" s="186"/>
      <c r="K1107" s="185"/>
      <c r="L1107" s="186"/>
      <c r="M1107" s="36">
        <v>880000000</v>
      </c>
      <c r="N1107" s="37" t="s">
        <v>34</v>
      </c>
      <c r="O1107" s="37"/>
      <c r="P1107" s="47" t="str">
        <f>IF(AND('331-CT'!$F$5=TH!H1107,OR(N1107="331",O1107="331")),"x","")</f>
        <v/>
      </c>
      <c r="Q1107" s="47" t="str">
        <f>IF(AND(B1107='111'!$L$11,OR($N1107=$Q$7,$O1107=$Q$7)),"x","")</f>
        <v/>
      </c>
      <c r="R1107" s="47" t="str">
        <f>IF(AND($N1107=$Q$7,$B1107&lt;'111'!$L$11),"x","")</f>
        <v>x</v>
      </c>
      <c r="S1107" s="47" t="str">
        <f>IF(AND($O1107=$Q$7,$B1107&lt;'111'!$L$11),"x","")</f>
        <v/>
      </c>
    </row>
    <row r="1108" spans="1:19" ht="15.75" customHeight="1">
      <c r="A1108" s="152" t="str">
        <f>IF(B1108&lt;&gt;"",IF(AND(B1108='IN-TC'!$S$4,OR(TH!N1108="1111",TH!O1108="1111")),TH!D1108,""),"")</f>
        <v/>
      </c>
      <c r="B1108" s="34">
        <f t="shared" si="39"/>
        <v>7</v>
      </c>
      <c r="C1108" s="35">
        <f t="shared" si="40"/>
        <v>42562</v>
      </c>
      <c r="D1108" s="212" t="s">
        <v>914</v>
      </c>
      <c r="E1108" s="35">
        <v>42562</v>
      </c>
      <c r="F1108" s="144" t="s">
        <v>857</v>
      </c>
      <c r="G1108" s="191"/>
      <c r="H1108" s="198" t="s">
        <v>204</v>
      </c>
      <c r="I1108" s="186"/>
      <c r="J1108" s="186"/>
      <c r="K1108" s="185"/>
      <c r="L1108" s="186"/>
      <c r="M1108" s="36">
        <v>100000000</v>
      </c>
      <c r="N1108" s="37"/>
      <c r="O1108" s="37" t="s">
        <v>34</v>
      </c>
      <c r="P1108" s="47" t="str">
        <f>IF(AND('331-CT'!$F$5=TH!H1108,OR(N1108="331",O1108="331")),"x","")</f>
        <v/>
      </c>
      <c r="Q1108" s="47" t="str">
        <f>IF(AND(B1108='111'!$L$11,OR($N1108=$Q$7,$O1108=$Q$7)),"x","")</f>
        <v/>
      </c>
      <c r="R1108" s="47" t="str">
        <f>IF(AND($N1108=$Q$7,$B1108&lt;'111'!$L$11),"x","")</f>
        <v/>
      </c>
      <c r="S1108" s="47" t="str">
        <f>IF(AND($O1108=$Q$7,$B1108&lt;'111'!$L$11),"x","")</f>
        <v>x</v>
      </c>
    </row>
    <row r="1109" spans="1:19" ht="15.75" customHeight="1">
      <c r="A1109" s="152" t="str">
        <f>IF(B1109&lt;&gt;"",IF(AND(B1109='IN-TC'!$S$4,OR(TH!N1109="1111",TH!O1109="1111")),TH!D1109,""),"")</f>
        <v/>
      </c>
      <c r="B1109" s="34">
        <f t="shared" si="39"/>
        <v>7</v>
      </c>
      <c r="C1109" s="35">
        <f t="shared" si="40"/>
        <v>42562</v>
      </c>
      <c r="D1109" s="212" t="s">
        <v>915</v>
      </c>
      <c r="E1109" s="35">
        <v>42562</v>
      </c>
      <c r="F1109" s="144" t="s">
        <v>642</v>
      </c>
      <c r="G1109" s="191"/>
      <c r="H1109" s="198"/>
      <c r="I1109" s="186"/>
      <c r="J1109" s="186"/>
      <c r="K1109" s="185"/>
      <c r="L1109" s="186"/>
      <c r="M1109" s="36">
        <v>10000000</v>
      </c>
      <c r="N1109" s="37"/>
      <c r="O1109" s="37" t="s">
        <v>34</v>
      </c>
      <c r="P1109" s="47" t="str">
        <f>IF(AND('331-CT'!$F$5=TH!H1109,OR(N1109="331",O1109="331")),"x","")</f>
        <v/>
      </c>
      <c r="Q1109" s="47" t="str">
        <f>IF(AND(B1109='111'!$L$11,OR($N1109=$Q$7,$O1109=$Q$7)),"x","")</f>
        <v/>
      </c>
      <c r="R1109" s="47" t="str">
        <f>IF(AND($N1109=$Q$7,$B1109&lt;'111'!$L$11),"x","")</f>
        <v/>
      </c>
      <c r="S1109" s="47" t="str">
        <f>IF(AND($O1109=$Q$7,$B1109&lt;'111'!$L$11),"x","")</f>
        <v>x</v>
      </c>
    </row>
    <row r="1110" spans="1:19" ht="15.75" customHeight="1">
      <c r="A1110" s="152" t="str">
        <f>IF(B1110&lt;&gt;"",IF(AND(B1110='IN-TC'!$S$4,OR(TH!N1110="1111",TH!O1110="1111")),TH!D1110,""),"")</f>
        <v/>
      </c>
      <c r="B1110" s="34">
        <f t="shared" si="39"/>
        <v>7</v>
      </c>
      <c r="C1110" s="35">
        <f t="shared" si="40"/>
        <v>42562</v>
      </c>
      <c r="D1110" s="212" t="s">
        <v>916</v>
      </c>
      <c r="E1110" s="35">
        <v>42562</v>
      </c>
      <c r="F1110" s="144" t="s">
        <v>671</v>
      </c>
      <c r="G1110" s="191"/>
      <c r="H1110" s="198"/>
      <c r="I1110" s="186"/>
      <c r="J1110" s="186"/>
      <c r="K1110" s="185"/>
      <c r="L1110" s="186"/>
      <c r="M1110" s="36">
        <v>500000</v>
      </c>
      <c r="N1110" s="37"/>
      <c r="O1110" s="37" t="s">
        <v>34</v>
      </c>
      <c r="P1110" s="47" t="str">
        <f>IF(AND('331-CT'!$F$5=TH!H1110,OR(N1110="331",O1110="331")),"x","")</f>
        <v/>
      </c>
      <c r="Q1110" s="47" t="str">
        <f>IF(AND(B1110='111'!$L$11,OR($N1110=$Q$7,$O1110=$Q$7)),"x","")</f>
        <v/>
      </c>
      <c r="R1110" s="47" t="str">
        <f>IF(AND($N1110=$Q$7,$B1110&lt;'111'!$L$11),"x","")</f>
        <v/>
      </c>
      <c r="S1110" s="47" t="str">
        <f>IF(AND($O1110=$Q$7,$B1110&lt;'111'!$L$11),"x","")</f>
        <v>x</v>
      </c>
    </row>
    <row r="1111" spans="1:19" ht="15.75" customHeight="1">
      <c r="A1111" s="152" t="str">
        <f>IF(B1111&lt;&gt;"",IF(AND(B1111='IN-TC'!$S$4,OR(TH!N1111="1111",TH!O1111="1111")),TH!D1111,""),"")</f>
        <v/>
      </c>
      <c r="B1111" s="34">
        <f t="shared" si="39"/>
        <v>7</v>
      </c>
      <c r="C1111" s="35">
        <f t="shared" si="40"/>
        <v>42562</v>
      </c>
      <c r="D1111" s="212" t="s">
        <v>917</v>
      </c>
      <c r="E1111" s="35">
        <v>42562</v>
      </c>
      <c r="F1111" s="144" t="s">
        <v>858</v>
      </c>
      <c r="G1111" s="191"/>
      <c r="H1111" s="198"/>
      <c r="I1111" s="186"/>
      <c r="J1111" s="186"/>
      <c r="K1111" s="185"/>
      <c r="L1111" s="186"/>
      <c r="M1111" s="36">
        <v>1000000</v>
      </c>
      <c r="N1111" s="37"/>
      <c r="O1111" s="37" t="s">
        <v>34</v>
      </c>
      <c r="P1111" s="47" t="str">
        <f>IF(AND('331-CT'!$F$5=TH!H1111,OR(N1111="331",O1111="331")),"x","")</f>
        <v/>
      </c>
      <c r="Q1111" s="47" t="str">
        <f>IF(AND(B1111='111'!$L$11,OR($N1111=$Q$7,$O1111=$Q$7)),"x","")</f>
        <v/>
      </c>
      <c r="R1111" s="47" t="str">
        <f>IF(AND($N1111=$Q$7,$B1111&lt;'111'!$L$11),"x","")</f>
        <v/>
      </c>
      <c r="S1111" s="47" t="str">
        <f>IF(AND($O1111=$Q$7,$B1111&lt;'111'!$L$11),"x","")</f>
        <v>x</v>
      </c>
    </row>
    <row r="1112" spans="1:19" ht="15.75" customHeight="1">
      <c r="A1112" s="152" t="str">
        <f>IF(B1112&lt;&gt;"",IF(AND(B1112='IN-TC'!$S$4,OR(TH!N1112="1111",TH!O1112="1111")),TH!D1112,""),"")</f>
        <v/>
      </c>
      <c r="B1112" s="34">
        <f t="shared" si="39"/>
        <v>7</v>
      </c>
      <c r="C1112" s="35">
        <f t="shared" si="40"/>
        <v>42562</v>
      </c>
      <c r="D1112" s="212" t="s">
        <v>918</v>
      </c>
      <c r="E1112" s="35">
        <v>42562</v>
      </c>
      <c r="F1112" s="144" t="s">
        <v>859</v>
      </c>
      <c r="G1112" s="191"/>
      <c r="H1112" s="198"/>
      <c r="I1112" s="186"/>
      <c r="J1112" s="186"/>
      <c r="K1112" s="185"/>
      <c r="L1112" s="186"/>
      <c r="M1112" s="36">
        <v>5000000</v>
      </c>
      <c r="N1112" s="37"/>
      <c r="O1112" s="37" t="s">
        <v>34</v>
      </c>
      <c r="P1112" s="47" t="str">
        <f>IF(AND('331-CT'!$F$5=TH!H1112,OR(N1112="331",O1112="331")),"x","")</f>
        <v/>
      </c>
      <c r="Q1112" s="47" t="str">
        <f>IF(AND(B1112='111'!$L$11,OR($N1112=$Q$7,$O1112=$Q$7)),"x","")</f>
        <v/>
      </c>
      <c r="R1112" s="47" t="str">
        <f>IF(AND($N1112=$Q$7,$B1112&lt;'111'!$L$11),"x","")</f>
        <v/>
      </c>
      <c r="S1112" s="47" t="str">
        <f>IF(AND($O1112=$Q$7,$B1112&lt;'111'!$L$11),"x","")</f>
        <v>x</v>
      </c>
    </row>
    <row r="1113" spans="1:19" ht="15.75" customHeight="1">
      <c r="A1113" s="152" t="str">
        <f>IF(B1113&lt;&gt;"",IF(AND(B1113='IN-TC'!$S$4,OR(TH!N1113="1111",TH!O1113="1111")),TH!D1113,""),"")</f>
        <v/>
      </c>
      <c r="B1113" s="34">
        <f t="shared" si="39"/>
        <v>7</v>
      </c>
      <c r="C1113" s="35">
        <f t="shared" si="40"/>
        <v>42562</v>
      </c>
      <c r="D1113" s="212" t="s">
        <v>919</v>
      </c>
      <c r="E1113" s="35">
        <v>42562</v>
      </c>
      <c r="F1113" s="144" t="s">
        <v>931</v>
      </c>
      <c r="G1113" s="191"/>
      <c r="H1113" s="198"/>
      <c r="I1113" s="186"/>
      <c r="J1113" s="186"/>
      <c r="K1113" s="185"/>
      <c r="L1113" s="186"/>
      <c r="M1113" s="36">
        <v>33107000</v>
      </c>
      <c r="N1113" s="37"/>
      <c r="O1113" s="37" t="s">
        <v>34</v>
      </c>
      <c r="P1113" s="47" t="str">
        <f>IF(AND('331-CT'!$F$5=TH!H1113,OR(N1113="331",O1113="331")),"x","")</f>
        <v/>
      </c>
      <c r="Q1113" s="47" t="str">
        <f>IF(AND(B1113='111'!$L$11,OR($N1113=$Q$7,$O1113=$Q$7)),"x","")</f>
        <v/>
      </c>
      <c r="R1113" s="47" t="str">
        <f>IF(AND($N1113=$Q$7,$B1113&lt;'111'!$L$11),"x","")</f>
        <v/>
      </c>
      <c r="S1113" s="47" t="str">
        <f>IF(AND($O1113=$Q$7,$B1113&lt;'111'!$L$11),"x","")</f>
        <v>x</v>
      </c>
    </row>
    <row r="1114" spans="1:19" ht="15.75" customHeight="1">
      <c r="A1114" s="152" t="str">
        <f>IF(B1114&lt;&gt;"",IF(AND(B1114='IN-TC'!$S$4,OR(TH!N1114="1111",TH!O1114="1111")),TH!D1114,""),"")</f>
        <v/>
      </c>
      <c r="B1114" s="34">
        <f t="shared" si="39"/>
        <v>7</v>
      </c>
      <c r="C1114" s="35">
        <f t="shared" si="40"/>
        <v>42562</v>
      </c>
      <c r="D1114" s="212" t="s">
        <v>920</v>
      </c>
      <c r="E1114" s="35">
        <v>42562</v>
      </c>
      <c r="F1114" s="144" t="s">
        <v>850</v>
      </c>
      <c r="G1114" s="191" t="s">
        <v>206</v>
      </c>
      <c r="H1114" s="198" t="s">
        <v>843</v>
      </c>
      <c r="I1114" s="186"/>
      <c r="J1114" s="186"/>
      <c r="K1114" s="185"/>
      <c r="L1114" s="186"/>
      <c r="M1114" s="36">
        <v>200000000</v>
      </c>
      <c r="N1114" s="37" t="s">
        <v>8</v>
      </c>
      <c r="O1114" s="37" t="s">
        <v>34</v>
      </c>
      <c r="P1114" s="47" t="str">
        <f>IF(AND('331-CT'!$F$5=TH!H1114,OR(N1114="331",O1114="331")),"x","")</f>
        <v/>
      </c>
      <c r="Q1114" s="47" t="str">
        <f>IF(AND(B1114='111'!$L$11,OR($N1114=$Q$7,$O1114=$Q$7)),"x","")</f>
        <v/>
      </c>
      <c r="R1114" s="47" t="str">
        <f>IF(AND($N1114=$Q$7,$B1114&lt;'111'!$L$11),"x","")</f>
        <v/>
      </c>
      <c r="S1114" s="47" t="str">
        <f>IF(AND($O1114=$Q$7,$B1114&lt;'111'!$L$11),"x","")</f>
        <v>x</v>
      </c>
    </row>
    <row r="1115" spans="1:19" ht="15.75" customHeight="1">
      <c r="A1115" s="152" t="str">
        <f>IF(B1115&lt;&gt;"",IF(AND(B1115='IN-TC'!$S$4,OR(TH!N1115="1111",TH!O1115="1111")),TH!D1115,""),"")</f>
        <v/>
      </c>
      <c r="B1115" s="34">
        <f t="shared" si="39"/>
        <v>7</v>
      </c>
      <c r="C1115" s="35">
        <f t="shared" si="40"/>
        <v>42562</v>
      </c>
      <c r="D1115" s="212" t="s">
        <v>920</v>
      </c>
      <c r="E1115" s="35">
        <v>42562</v>
      </c>
      <c r="F1115" s="144" t="s">
        <v>1424</v>
      </c>
      <c r="G1115" s="191"/>
      <c r="H1115" s="198"/>
      <c r="I1115" s="186"/>
      <c r="J1115" s="186"/>
      <c r="K1115" s="185"/>
      <c r="L1115" s="186"/>
      <c r="M1115" s="36">
        <v>60000</v>
      </c>
      <c r="N1115" s="37" t="s">
        <v>1425</v>
      </c>
      <c r="O1115" s="37" t="s">
        <v>34</v>
      </c>
      <c r="P1115" s="47" t="str">
        <f>IF(AND('331-CT'!$F$5=TH!H1115,OR(N1115="331",O1115="331")),"x","")</f>
        <v/>
      </c>
      <c r="Q1115" s="47" t="str">
        <f>IF(AND(B1115='111'!$L$11,OR($N1115=$Q$7,$O1115=$Q$7)),"x","")</f>
        <v/>
      </c>
      <c r="R1115" s="47" t="str">
        <f>IF(AND($N1115=$Q$7,$B1115&lt;'111'!$L$11),"x","")</f>
        <v/>
      </c>
      <c r="S1115" s="47" t="str">
        <f>IF(AND($O1115=$Q$7,$B1115&lt;'111'!$L$11),"x","")</f>
        <v>x</v>
      </c>
    </row>
    <row r="1116" spans="1:19" ht="15.75" customHeight="1">
      <c r="A1116" s="152" t="str">
        <f>IF(B1116&lt;&gt;"",IF(AND(B1116='IN-TC'!$S$4,OR(TH!N1116="1111",TH!O1116="1111")),TH!D1116,""),"")</f>
        <v/>
      </c>
      <c r="B1116" s="34">
        <f t="shared" si="39"/>
        <v>7</v>
      </c>
      <c r="C1116" s="35">
        <f t="shared" si="40"/>
        <v>42562</v>
      </c>
      <c r="D1116" s="212" t="s">
        <v>921</v>
      </c>
      <c r="E1116" s="35">
        <v>42562</v>
      </c>
      <c r="F1116" s="144" t="s">
        <v>850</v>
      </c>
      <c r="G1116" s="191" t="s">
        <v>206</v>
      </c>
      <c r="H1116" s="198" t="s">
        <v>825</v>
      </c>
      <c r="I1116" s="186"/>
      <c r="J1116" s="186"/>
      <c r="K1116" s="185"/>
      <c r="L1116" s="186"/>
      <c r="M1116" s="36">
        <v>66890000</v>
      </c>
      <c r="N1116" s="37" t="s">
        <v>8</v>
      </c>
      <c r="O1116" s="37" t="s">
        <v>34</v>
      </c>
      <c r="P1116" s="47" t="str">
        <f>IF(AND('331-CT'!$F$5=TH!H1116,OR(N1116="331",O1116="331")),"x","")</f>
        <v/>
      </c>
      <c r="Q1116" s="47" t="str">
        <f>IF(AND(B1116='111'!$L$11,OR($N1116=$Q$7,$O1116=$Q$7)),"x","")</f>
        <v/>
      </c>
      <c r="R1116" s="47" t="str">
        <f>IF(AND($N1116=$Q$7,$B1116&lt;'111'!$L$11),"x","")</f>
        <v/>
      </c>
      <c r="S1116" s="47" t="str">
        <f>IF(AND($O1116=$Q$7,$B1116&lt;'111'!$L$11),"x","")</f>
        <v>x</v>
      </c>
    </row>
    <row r="1117" spans="1:19" ht="15.75" customHeight="1">
      <c r="A1117" s="152" t="str">
        <f>IF(B1117&lt;&gt;"",IF(AND(B1117='IN-TC'!$S$4,OR(TH!N1117="1111",TH!O1117="1111")),TH!D1117,""),"")</f>
        <v/>
      </c>
      <c r="B1117" s="34">
        <f t="shared" si="39"/>
        <v>7</v>
      </c>
      <c r="C1117" s="35">
        <f t="shared" si="40"/>
        <v>42562</v>
      </c>
      <c r="D1117" s="212" t="s">
        <v>922</v>
      </c>
      <c r="E1117" s="35">
        <v>42562</v>
      </c>
      <c r="F1117" s="144" t="s">
        <v>850</v>
      </c>
      <c r="G1117" s="191" t="s">
        <v>206</v>
      </c>
      <c r="H1117" s="198" t="s">
        <v>821</v>
      </c>
      <c r="I1117" s="186"/>
      <c r="J1117" s="186"/>
      <c r="K1117" s="185"/>
      <c r="L1117" s="186"/>
      <c r="M1117" s="36">
        <v>143467000</v>
      </c>
      <c r="N1117" s="37" t="s">
        <v>8</v>
      </c>
      <c r="O1117" s="37" t="s">
        <v>34</v>
      </c>
      <c r="P1117" s="47" t="str">
        <f>IF(AND('331-CT'!$F$5=TH!H1117,OR(N1117="331",O1117="331")),"x","")</f>
        <v/>
      </c>
      <c r="Q1117" s="47" t="str">
        <f>IF(AND(B1117='111'!$L$11,OR($N1117=$Q$7,$O1117=$Q$7)),"x","")</f>
        <v/>
      </c>
      <c r="R1117" s="47" t="str">
        <f>IF(AND($N1117=$Q$7,$B1117&lt;'111'!$L$11),"x","")</f>
        <v/>
      </c>
      <c r="S1117" s="47" t="str">
        <f>IF(AND($O1117=$Q$7,$B1117&lt;'111'!$L$11),"x","")</f>
        <v>x</v>
      </c>
    </row>
    <row r="1118" spans="1:19" ht="15.75" customHeight="1">
      <c r="A1118" s="152" t="str">
        <f>IF(B1118&lt;&gt;"",IF(AND(B1118='IN-TC'!$S$4,OR(TH!N1118="1111",TH!O1118="1111")),TH!D1118,""),"")</f>
        <v/>
      </c>
      <c r="B1118" s="34">
        <f t="shared" si="39"/>
        <v>7</v>
      </c>
      <c r="C1118" s="35">
        <f t="shared" si="40"/>
        <v>42562</v>
      </c>
      <c r="D1118" s="212" t="s">
        <v>923</v>
      </c>
      <c r="E1118" s="35">
        <v>42562</v>
      </c>
      <c r="F1118" s="144" t="s">
        <v>850</v>
      </c>
      <c r="G1118" s="191" t="s">
        <v>206</v>
      </c>
      <c r="H1118" s="198" t="s">
        <v>831</v>
      </c>
      <c r="I1118" s="186"/>
      <c r="J1118" s="186"/>
      <c r="K1118" s="185"/>
      <c r="L1118" s="186"/>
      <c r="M1118" s="36">
        <v>146980000</v>
      </c>
      <c r="N1118" s="37" t="s">
        <v>8</v>
      </c>
      <c r="O1118" s="37" t="s">
        <v>34</v>
      </c>
      <c r="P1118" s="47" t="str">
        <f>IF(AND('331-CT'!$F$5=TH!H1118,OR(N1118="331",O1118="331")),"x","")</f>
        <v/>
      </c>
      <c r="Q1118" s="47" t="str">
        <f>IF(AND(B1118='111'!$L$11,OR($N1118=$Q$7,$O1118=$Q$7)),"x","")</f>
        <v/>
      </c>
      <c r="R1118" s="47" t="str">
        <f>IF(AND($N1118=$Q$7,$B1118&lt;'111'!$L$11),"x","")</f>
        <v/>
      </c>
      <c r="S1118" s="47" t="str">
        <f>IF(AND($O1118=$Q$7,$B1118&lt;'111'!$L$11),"x","")</f>
        <v>x</v>
      </c>
    </row>
    <row r="1119" spans="1:19" ht="15.75" customHeight="1">
      <c r="A1119" s="152" t="str">
        <f>IF(B1119&lt;&gt;"",IF(AND(B1119='IN-TC'!$S$4,OR(TH!N1119="1111",TH!O1119="1111")),TH!D1119,""),"")</f>
        <v/>
      </c>
      <c r="B1119" s="34">
        <f t="shared" si="39"/>
        <v>7</v>
      </c>
      <c r="C1119" s="35">
        <f t="shared" si="40"/>
        <v>42562</v>
      </c>
      <c r="D1119" s="212" t="s">
        <v>924</v>
      </c>
      <c r="E1119" s="35">
        <v>42562</v>
      </c>
      <c r="F1119" s="144" t="s">
        <v>784</v>
      </c>
      <c r="G1119" s="191" t="s">
        <v>204</v>
      </c>
      <c r="H1119" s="198"/>
      <c r="I1119" s="186"/>
      <c r="J1119" s="186"/>
      <c r="K1119" s="185"/>
      <c r="L1119" s="186"/>
      <c r="M1119" s="36">
        <v>50017000</v>
      </c>
      <c r="N1119" s="37"/>
      <c r="O1119" s="37" t="s">
        <v>34</v>
      </c>
      <c r="P1119" s="47" t="str">
        <f>IF(AND('331-CT'!$F$5=TH!H1119,OR(N1119="331",O1119="331")),"x","")</f>
        <v/>
      </c>
      <c r="Q1119" s="47" t="str">
        <f>IF(AND(B1119='111'!$L$11,OR($N1119=$Q$7,$O1119=$Q$7)),"x","")</f>
        <v/>
      </c>
      <c r="R1119" s="47" t="str">
        <f>IF(AND($N1119=$Q$7,$B1119&lt;'111'!$L$11),"x","")</f>
        <v/>
      </c>
      <c r="S1119" s="47" t="str">
        <f>IF(AND($O1119=$Q$7,$B1119&lt;'111'!$L$11),"x","")</f>
        <v>x</v>
      </c>
    </row>
    <row r="1120" spans="1:19" ht="15.75" customHeight="1">
      <c r="A1120" s="152" t="str">
        <f>IF(B1120&lt;&gt;"",IF(AND(B1120='IN-TC'!$S$4,OR(TH!N1120="1111",TH!O1120="1111")),TH!D1120,""),"")</f>
        <v/>
      </c>
      <c r="B1120" s="34">
        <f t="shared" si="39"/>
        <v>7</v>
      </c>
      <c r="C1120" s="35">
        <f t="shared" si="40"/>
        <v>42562</v>
      </c>
      <c r="D1120" s="212" t="s">
        <v>925</v>
      </c>
      <c r="E1120" s="35">
        <v>42562</v>
      </c>
      <c r="F1120" s="144" t="s">
        <v>932</v>
      </c>
      <c r="G1120" s="191"/>
      <c r="H1120" s="198"/>
      <c r="I1120" s="186"/>
      <c r="J1120" s="186"/>
      <c r="K1120" s="185"/>
      <c r="L1120" s="186"/>
      <c r="M1120" s="36">
        <v>100000</v>
      </c>
      <c r="N1120" s="37"/>
      <c r="O1120" s="37" t="s">
        <v>34</v>
      </c>
      <c r="P1120" s="47" t="str">
        <f>IF(AND('331-CT'!$F$5=TH!H1120,OR(N1120="331",O1120="331")),"x","")</f>
        <v/>
      </c>
      <c r="Q1120" s="47" t="str">
        <f>IF(AND(B1120='111'!$L$11,OR($N1120=$Q$7,$O1120=$Q$7)),"x","")</f>
        <v/>
      </c>
      <c r="R1120" s="47" t="str">
        <f>IF(AND($N1120=$Q$7,$B1120&lt;'111'!$L$11),"x","")</f>
        <v/>
      </c>
      <c r="S1120" s="47" t="str">
        <f>IF(AND($O1120=$Q$7,$B1120&lt;'111'!$L$11),"x","")</f>
        <v>x</v>
      </c>
    </row>
    <row r="1121" spans="1:19" ht="15.75" customHeight="1">
      <c r="A1121" s="152" t="str">
        <f>IF(B1121&lt;&gt;"",IF(AND(B1121='IN-TC'!$S$4,OR(TH!N1121="1111",TH!O1121="1111")),TH!D1121,""),"")</f>
        <v/>
      </c>
      <c r="B1121" s="34">
        <f t="shared" si="39"/>
        <v>7</v>
      </c>
      <c r="C1121" s="35">
        <f t="shared" si="40"/>
        <v>42562</v>
      </c>
      <c r="D1121" s="212" t="s">
        <v>926</v>
      </c>
      <c r="E1121" s="35">
        <v>42562</v>
      </c>
      <c r="F1121" s="144" t="s">
        <v>933</v>
      </c>
      <c r="G1121" s="191" t="s">
        <v>213</v>
      </c>
      <c r="H1121" s="198" t="s">
        <v>1427</v>
      </c>
      <c r="I1121" s="186"/>
      <c r="J1121" s="186"/>
      <c r="K1121" s="185"/>
      <c r="L1121" s="186"/>
      <c r="M1121" s="36">
        <v>150000000</v>
      </c>
      <c r="N1121" s="37"/>
      <c r="O1121" s="37" t="s">
        <v>34</v>
      </c>
      <c r="P1121" s="47" t="str">
        <f>IF(AND('331-CT'!$F$5=TH!H1121,OR(N1121="331",O1121="331")),"x","")</f>
        <v/>
      </c>
      <c r="Q1121" s="47" t="str">
        <f>IF(AND(B1121='111'!$L$11,OR($N1121=$Q$7,$O1121=$Q$7)),"x","")</f>
        <v/>
      </c>
      <c r="R1121" s="47" t="str">
        <f>IF(AND($N1121=$Q$7,$B1121&lt;'111'!$L$11),"x","")</f>
        <v/>
      </c>
      <c r="S1121" s="47" t="str">
        <f>IF(AND($O1121=$Q$7,$B1121&lt;'111'!$L$11),"x","")</f>
        <v>x</v>
      </c>
    </row>
    <row r="1122" spans="1:19" ht="15.75" customHeight="1">
      <c r="A1122" s="152" t="str">
        <f>IF(B1122&lt;&gt;"",IF(AND(B1122='IN-TC'!$S$4,OR(TH!N1122="1111",TH!O1122="1111")),TH!D1122,""),"")</f>
        <v/>
      </c>
      <c r="B1122" s="34">
        <f t="shared" si="39"/>
        <v>7</v>
      </c>
      <c r="C1122" s="35">
        <f t="shared" si="40"/>
        <v>42562</v>
      </c>
      <c r="D1122" s="212"/>
      <c r="E1122" s="35">
        <v>42562</v>
      </c>
      <c r="F1122" s="144" t="s">
        <v>1440</v>
      </c>
      <c r="G1122" s="191"/>
      <c r="H1122" s="198" t="s">
        <v>839</v>
      </c>
      <c r="I1122" s="186">
        <v>4860</v>
      </c>
      <c r="J1122" s="186">
        <v>42000</v>
      </c>
      <c r="K1122" s="185"/>
      <c r="L1122" s="186"/>
      <c r="M1122" s="36">
        <f>ROUND(I1122*J1122,0)</f>
        <v>204120000</v>
      </c>
      <c r="N1122" s="37" t="s">
        <v>1443</v>
      </c>
      <c r="O1122" s="37" t="s">
        <v>8</v>
      </c>
      <c r="P1122" s="47" t="str">
        <f>IF(AND('331-CT'!$F$5=TH!H1122,OR(N1122="331",O1122="331")),"x","")</f>
        <v/>
      </c>
      <c r="Q1122" s="47" t="str">
        <f>IF(AND(B1122='111'!$L$11,OR($N1122=$Q$7,$O1122=$Q$7)),"x","")</f>
        <v/>
      </c>
      <c r="R1122" s="47" t="str">
        <f>IF(AND($N1122=$Q$7,$B1122&lt;'111'!$L$11),"x","")</f>
        <v/>
      </c>
      <c r="S1122" s="47" t="str">
        <f>IF(AND($O1122=$Q$7,$B1122&lt;'111'!$L$11),"x","")</f>
        <v/>
      </c>
    </row>
    <row r="1123" spans="1:19" ht="15.75" customHeight="1">
      <c r="A1123" s="152" t="str">
        <f>IF(B1123&lt;&gt;"",IF(AND(B1123='IN-TC'!$S$4,OR(TH!N1123="1111",TH!O1123="1111")),TH!D1123,""),"")</f>
        <v/>
      </c>
      <c r="B1123" s="34">
        <f t="shared" si="39"/>
        <v>7</v>
      </c>
      <c r="C1123" s="35">
        <f t="shared" si="40"/>
        <v>42562</v>
      </c>
      <c r="D1123" s="212"/>
      <c r="E1123" s="35">
        <v>42562</v>
      </c>
      <c r="F1123" s="144" t="s">
        <v>1476</v>
      </c>
      <c r="G1123" s="191" t="s">
        <v>1478</v>
      </c>
      <c r="H1123" s="198" t="s">
        <v>843</v>
      </c>
      <c r="I1123" s="186">
        <v>155</v>
      </c>
      <c r="J1123" s="186">
        <v>37000</v>
      </c>
      <c r="K1123" s="185"/>
      <c r="L1123" s="186"/>
      <c r="M1123" s="36">
        <f>ROUND(I1123*J1123,0)</f>
        <v>5735000</v>
      </c>
      <c r="N1123" s="37" t="s">
        <v>1443</v>
      </c>
      <c r="O1123" s="37" t="s">
        <v>8</v>
      </c>
      <c r="P1123" s="47" t="str">
        <f>IF(AND('331-CT'!$F$5=TH!H1123,OR(N1123="331",O1123="331")),"x","")</f>
        <v/>
      </c>
      <c r="Q1123" s="47" t="str">
        <f>IF(AND(B1123='111'!$L$11,OR($N1123=$Q$7,$O1123=$Q$7)),"x","")</f>
        <v/>
      </c>
      <c r="R1123" s="47" t="str">
        <f>IF(AND($N1123=$Q$7,$B1123&lt;'111'!$L$11),"x","")</f>
        <v/>
      </c>
      <c r="S1123" s="47" t="str">
        <f>IF(AND($O1123=$Q$7,$B1123&lt;'111'!$L$11),"x","")</f>
        <v/>
      </c>
    </row>
    <row r="1124" spans="1:19" ht="15.75" customHeight="1">
      <c r="A1124" s="152" t="str">
        <f>IF(B1124&lt;&gt;"",IF(AND(B1124='IN-TC'!$S$4,OR(TH!N1124="1111",TH!O1124="1111")),TH!D1124,""),"")</f>
        <v/>
      </c>
      <c r="B1124" s="34">
        <f t="shared" si="39"/>
        <v>7</v>
      </c>
      <c r="C1124" s="35">
        <f t="shared" si="40"/>
        <v>42563</v>
      </c>
      <c r="D1124" s="212" t="s">
        <v>927</v>
      </c>
      <c r="E1124" s="35">
        <v>42563</v>
      </c>
      <c r="F1124" s="144" t="s">
        <v>850</v>
      </c>
      <c r="G1124" s="191" t="s">
        <v>206</v>
      </c>
      <c r="H1124" s="198" t="s">
        <v>839</v>
      </c>
      <c r="I1124" s="186"/>
      <c r="J1124" s="186"/>
      <c r="K1124" s="185"/>
      <c r="L1124" s="186"/>
      <c r="M1124" s="36">
        <v>200000000</v>
      </c>
      <c r="N1124" s="37" t="s">
        <v>8</v>
      </c>
      <c r="O1124" s="37" t="s">
        <v>34</v>
      </c>
      <c r="P1124" s="47" t="str">
        <f>IF(AND('331-CT'!$F$5=TH!H1124,OR(N1124="331",O1124="331")),"x","")</f>
        <v/>
      </c>
      <c r="Q1124" s="47" t="str">
        <f>IF(AND(B1124='111'!$L$11,OR($N1124=$Q$7,$O1124=$Q$7)),"x","")</f>
        <v/>
      </c>
      <c r="R1124" s="47" t="str">
        <f>IF(AND($N1124=$Q$7,$B1124&lt;'111'!$L$11),"x","")</f>
        <v/>
      </c>
      <c r="S1124" s="47" t="str">
        <f>IF(AND($O1124=$Q$7,$B1124&lt;'111'!$L$11),"x","")</f>
        <v>x</v>
      </c>
    </row>
    <row r="1125" spans="1:19" ht="15.75" customHeight="1">
      <c r="A1125" s="152" t="str">
        <f>IF(B1125&lt;&gt;"",IF(AND(B1125='IN-TC'!$S$4,OR(TH!N1125="1111",TH!O1125="1111")),TH!D1125,""),"")</f>
        <v/>
      </c>
      <c r="B1125" s="34">
        <f t="shared" si="39"/>
        <v>7</v>
      </c>
      <c r="C1125" s="35">
        <f t="shared" si="40"/>
        <v>42563</v>
      </c>
      <c r="D1125" s="212"/>
      <c r="E1125" s="35">
        <v>42563</v>
      </c>
      <c r="F1125" s="144" t="s">
        <v>1476</v>
      </c>
      <c r="G1125" s="191" t="s">
        <v>1478</v>
      </c>
      <c r="H1125" s="198" t="s">
        <v>843</v>
      </c>
      <c r="I1125" s="186">
        <v>305</v>
      </c>
      <c r="J1125" s="186">
        <v>37000</v>
      </c>
      <c r="K1125" s="185"/>
      <c r="L1125" s="186"/>
      <c r="M1125" s="36">
        <f>ROUND(I1125*J1125,0)</f>
        <v>11285000</v>
      </c>
      <c r="N1125" s="37" t="s">
        <v>1443</v>
      </c>
      <c r="O1125" s="37" t="s">
        <v>8</v>
      </c>
      <c r="P1125" s="47" t="str">
        <f>IF(AND('331-CT'!$F$5=TH!H1125,OR(N1125="331",O1125="331")),"x","")</f>
        <v/>
      </c>
      <c r="Q1125" s="47" t="str">
        <f>IF(AND(B1125='111'!$L$11,OR($N1125=$Q$7,$O1125=$Q$7)),"x","")</f>
        <v/>
      </c>
      <c r="R1125" s="47" t="str">
        <f>IF(AND($N1125=$Q$7,$B1125&lt;'111'!$L$11),"x","")</f>
        <v/>
      </c>
      <c r="S1125" s="47" t="str">
        <f>IF(AND($O1125=$Q$7,$B1125&lt;'111'!$L$11),"x","")</f>
        <v/>
      </c>
    </row>
    <row r="1126" spans="1:19" ht="15.75" customHeight="1">
      <c r="A1126" s="152" t="str">
        <f>IF(B1126&lt;&gt;"",IF(AND(B1126='IN-TC'!$S$4,OR(TH!N1126="1111",TH!O1126="1111")),TH!D1126,""),"")</f>
        <v/>
      </c>
      <c r="B1126" s="34">
        <f t="shared" si="39"/>
        <v>7</v>
      </c>
      <c r="C1126" s="35">
        <f t="shared" si="40"/>
        <v>42564</v>
      </c>
      <c r="D1126" s="212" t="s">
        <v>928</v>
      </c>
      <c r="E1126" s="35">
        <v>42564</v>
      </c>
      <c r="F1126" s="144" t="s">
        <v>1271</v>
      </c>
      <c r="G1126" s="191" t="s">
        <v>213</v>
      </c>
      <c r="H1126" s="198"/>
      <c r="I1126" s="186"/>
      <c r="J1126" s="186"/>
      <c r="K1126" s="185"/>
      <c r="L1126" s="186"/>
      <c r="M1126" s="36">
        <v>7260000</v>
      </c>
      <c r="N1126" s="37"/>
      <c r="O1126" s="37" t="s">
        <v>34</v>
      </c>
      <c r="P1126" s="47" t="str">
        <f>IF(AND('331-CT'!$F$5=TH!H1126,OR(N1126="331",O1126="331")),"x","")</f>
        <v/>
      </c>
      <c r="Q1126" s="47" t="str">
        <f>IF(AND(B1126='111'!$L$11,OR($N1126=$Q$7,$O1126=$Q$7)),"x","")</f>
        <v/>
      </c>
      <c r="R1126" s="47" t="str">
        <f>IF(AND($N1126=$Q$7,$B1126&lt;'111'!$L$11),"x","")</f>
        <v/>
      </c>
      <c r="S1126" s="47" t="str">
        <f>IF(AND($O1126=$Q$7,$B1126&lt;'111'!$L$11),"x","")</f>
        <v>x</v>
      </c>
    </row>
    <row r="1127" spans="1:19" ht="15.75" customHeight="1">
      <c r="A1127" s="152" t="str">
        <f>IF(B1127&lt;&gt;"",IF(AND(B1127='IN-TC'!$S$4,OR(TH!N1127="1111",TH!O1127="1111")),TH!D1127,""),"")</f>
        <v/>
      </c>
      <c r="B1127" s="34">
        <f t="shared" si="39"/>
        <v>7</v>
      </c>
      <c r="C1127" s="35">
        <f t="shared" si="40"/>
        <v>42564</v>
      </c>
      <c r="D1127" s="212" t="s">
        <v>929</v>
      </c>
      <c r="E1127" s="35">
        <v>42564</v>
      </c>
      <c r="F1127" s="144" t="s">
        <v>932</v>
      </c>
      <c r="G1127" s="191"/>
      <c r="H1127" s="198"/>
      <c r="I1127" s="186"/>
      <c r="J1127" s="186"/>
      <c r="K1127" s="185"/>
      <c r="L1127" s="186"/>
      <c r="M1127" s="36">
        <v>140000</v>
      </c>
      <c r="N1127" s="37"/>
      <c r="O1127" s="37" t="s">
        <v>34</v>
      </c>
      <c r="P1127" s="47" t="str">
        <f>IF(AND('331-CT'!$F$5=TH!H1127,OR(N1127="331",O1127="331")),"x","")</f>
        <v/>
      </c>
      <c r="Q1127" s="47" t="str">
        <f>IF(AND(B1127='111'!$L$11,OR($N1127=$Q$7,$O1127=$Q$7)),"x","")</f>
        <v/>
      </c>
      <c r="R1127" s="47" t="str">
        <f>IF(AND($N1127=$Q$7,$B1127&lt;'111'!$L$11),"x","")</f>
        <v/>
      </c>
      <c r="S1127" s="47" t="str">
        <f>IF(AND($O1127=$Q$7,$B1127&lt;'111'!$L$11),"x","")</f>
        <v>x</v>
      </c>
    </row>
    <row r="1128" spans="1:19" ht="15.75" customHeight="1">
      <c r="A1128" s="152" t="str">
        <f>IF(B1128&lt;&gt;"",IF(AND(B1128='IN-TC'!$S$4,OR(TH!N1128="1111",TH!O1128="1111")),TH!D1128,""),"")</f>
        <v/>
      </c>
      <c r="B1128" s="34">
        <f t="shared" si="39"/>
        <v>7</v>
      </c>
      <c r="C1128" s="35">
        <f t="shared" si="40"/>
        <v>42564</v>
      </c>
      <c r="D1128" s="212" t="s">
        <v>940</v>
      </c>
      <c r="E1128" s="35">
        <v>42564</v>
      </c>
      <c r="F1128" s="144" t="s">
        <v>850</v>
      </c>
      <c r="G1128" s="191" t="s">
        <v>206</v>
      </c>
      <c r="H1128" s="198" t="s">
        <v>849</v>
      </c>
      <c r="I1128" s="186"/>
      <c r="J1128" s="186"/>
      <c r="K1128" s="185"/>
      <c r="L1128" s="186"/>
      <c r="M1128" s="36">
        <v>62599000</v>
      </c>
      <c r="N1128" s="37" t="s">
        <v>8</v>
      </c>
      <c r="O1128" s="37" t="s">
        <v>34</v>
      </c>
      <c r="P1128" s="47" t="str">
        <f>IF(AND('331-CT'!$F$5=TH!H1128,OR(N1128="331",O1128="331")),"x","")</f>
        <v/>
      </c>
      <c r="Q1128" s="47" t="str">
        <f>IF(AND(B1128='111'!$L$11,OR($N1128=$Q$7,$O1128=$Q$7)),"x","")</f>
        <v/>
      </c>
      <c r="R1128" s="47" t="str">
        <f>IF(AND($N1128=$Q$7,$B1128&lt;'111'!$L$11),"x","")</f>
        <v/>
      </c>
      <c r="S1128" s="47" t="str">
        <f>IF(AND($O1128=$Q$7,$B1128&lt;'111'!$L$11),"x","")</f>
        <v>x</v>
      </c>
    </row>
    <row r="1129" spans="1:19" ht="15.75" customHeight="1">
      <c r="A1129" s="152" t="str">
        <f>IF(B1129&lt;&gt;"",IF(AND(B1129='IN-TC'!$S$4,OR(TH!N1129="1111",TH!O1129="1111")),TH!D1129,""),"")</f>
        <v/>
      </c>
      <c r="B1129" s="34">
        <f t="shared" si="39"/>
        <v>7</v>
      </c>
      <c r="C1129" s="35">
        <f t="shared" si="40"/>
        <v>42564</v>
      </c>
      <c r="D1129" s="212" t="s">
        <v>940</v>
      </c>
      <c r="E1129" s="35">
        <v>42564</v>
      </c>
      <c r="F1129" s="144" t="s">
        <v>850</v>
      </c>
      <c r="G1129" s="191" t="s">
        <v>206</v>
      </c>
      <c r="H1129" s="198" t="s">
        <v>849</v>
      </c>
      <c r="I1129" s="186"/>
      <c r="J1129" s="186"/>
      <c r="K1129" s="185"/>
      <c r="L1129" s="186"/>
      <c r="M1129" s="36">
        <v>400</v>
      </c>
      <c r="N1129" s="37"/>
      <c r="O1129" s="37" t="s">
        <v>8</v>
      </c>
      <c r="P1129" s="47" t="str">
        <f>IF(AND('331-CT'!$F$5=TH!H1129,OR(N1129="331",O1129="331")),"x","")</f>
        <v/>
      </c>
      <c r="Q1129" s="47" t="str">
        <f>IF(AND(B1129='111'!$L$11,OR($N1129=$Q$7,$O1129=$Q$7)),"x","")</f>
        <v/>
      </c>
      <c r="R1129" s="47" t="str">
        <f>IF(AND($N1129=$Q$7,$B1129&lt;'111'!$L$11),"x","")</f>
        <v/>
      </c>
      <c r="S1129" s="47" t="str">
        <f>IF(AND($O1129=$Q$7,$B1129&lt;'111'!$L$11),"x","")</f>
        <v/>
      </c>
    </row>
    <row r="1130" spans="1:19" ht="15.75" customHeight="1">
      <c r="A1130" s="152" t="str">
        <f>IF(B1130&lt;&gt;"",IF(AND(B1130='IN-TC'!$S$4,OR(TH!N1130="1111",TH!O1130="1111")),TH!D1130,""),"")</f>
        <v/>
      </c>
      <c r="B1130" s="34">
        <f t="shared" si="39"/>
        <v>7</v>
      </c>
      <c r="C1130" s="35">
        <f t="shared" si="40"/>
        <v>42564</v>
      </c>
      <c r="D1130" s="212" t="s">
        <v>941</v>
      </c>
      <c r="E1130" s="35">
        <v>42564</v>
      </c>
      <c r="F1130" s="144" t="s">
        <v>71</v>
      </c>
      <c r="G1130" s="191"/>
      <c r="H1130" s="198"/>
      <c r="I1130" s="186"/>
      <c r="J1130" s="186"/>
      <c r="K1130" s="185"/>
      <c r="L1130" s="186"/>
      <c r="M1130" s="36">
        <v>40017000</v>
      </c>
      <c r="N1130" s="37"/>
      <c r="O1130" s="37" t="s">
        <v>34</v>
      </c>
      <c r="P1130" s="47" t="str">
        <f>IF(AND('331-CT'!$F$5=TH!H1130,OR(N1130="331",O1130="331")),"x","")</f>
        <v/>
      </c>
      <c r="Q1130" s="47" t="str">
        <f>IF(AND(B1130='111'!$L$11,OR($N1130=$Q$7,$O1130=$Q$7)),"x","")</f>
        <v/>
      </c>
      <c r="R1130" s="47" t="str">
        <f>IF(AND($N1130=$Q$7,$B1130&lt;'111'!$L$11),"x","")</f>
        <v/>
      </c>
      <c r="S1130" s="47" t="str">
        <f>IF(AND($O1130=$Q$7,$B1130&lt;'111'!$L$11),"x","")</f>
        <v>x</v>
      </c>
    </row>
    <row r="1131" spans="1:19" ht="15.75" customHeight="1">
      <c r="A1131" s="152" t="str">
        <f>IF(B1131&lt;&gt;"",IF(AND(B1131='IN-TC'!$S$4,OR(TH!N1131="1111",TH!O1131="1111")),TH!D1131,""),"")</f>
        <v/>
      </c>
      <c r="B1131" s="34">
        <f t="shared" si="39"/>
        <v>7</v>
      </c>
      <c r="C1131" s="35">
        <f t="shared" si="40"/>
        <v>42564</v>
      </c>
      <c r="D1131" s="212" t="s">
        <v>942</v>
      </c>
      <c r="E1131" s="35">
        <v>42564</v>
      </c>
      <c r="F1131" s="144" t="s">
        <v>784</v>
      </c>
      <c r="G1131" s="191" t="s">
        <v>204</v>
      </c>
      <c r="H1131" s="198"/>
      <c r="I1131" s="186"/>
      <c r="J1131" s="186"/>
      <c r="K1131" s="185"/>
      <c r="L1131" s="186"/>
      <c r="M1131" s="36">
        <v>900000</v>
      </c>
      <c r="N1131" s="37"/>
      <c r="O1131" s="37" t="s">
        <v>34</v>
      </c>
      <c r="P1131" s="47" t="str">
        <f>IF(AND('331-CT'!$F$5=TH!H1131,OR(N1131="331",O1131="331")),"x","")</f>
        <v/>
      </c>
      <c r="Q1131" s="47" t="str">
        <f>IF(AND(B1131='111'!$L$11,OR($N1131=$Q$7,$O1131=$Q$7)),"x","")</f>
        <v/>
      </c>
      <c r="R1131" s="47" t="str">
        <f>IF(AND($N1131=$Q$7,$B1131&lt;'111'!$L$11),"x","")</f>
        <v/>
      </c>
      <c r="S1131" s="47" t="str">
        <f>IF(AND($O1131=$Q$7,$B1131&lt;'111'!$L$11),"x","")</f>
        <v>x</v>
      </c>
    </row>
    <row r="1132" spans="1:19" ht="15.75" customHeight="1">
      <c r="A1132" s="152" t="str">
        <f>IF(B1132&lt;&gt;"",IF(AND(B1132='IN-TC'!$S$4,OR(TH!N1132="1111",TH!O1132="1111")),TH!D1132,""),"")</f>
        <v/>
      </c>
      <c r="B1132" s="34">
        <f t="shared" si="39"/>
        <v>7</v>
      </c>
      <c r="C1132" s="35">
        <f t="shared" si="40"/>
        <v>42564</v>
      </c>
      <c r="D1132" s="212" t="s">
        <v>943</v>
      </c>
      <c r="E1132" s="35">
        <v>42564</v>
      </c>
      <c r="F1132" s="144" t="s">
        <v>559</v>
      </c>
      <c r="G1132" s="191"/>
      <c r="H1132" s="198"/>
      <c r="I1132" s="186"/>
      <c r="J1132" s="186"/>
      <c r="K1132" s="185"/>
      <c r="L1132" s="186"/>
      <c r="M1132" s="36">
        <v>2194000</v>
      </c>
      <c r="N1132" s="37"/>
      <c r="O1132" s="37" t="s">
        <v>34</v>
      </c>
      <c r="P1132" s="47" t="str">
        <f>IF(AND('331-CT'!$F$5=TH!H1132,OR(N1132="331",O1132="331")),"x","")</f>
        <v/>
      </c>
      <c r="Q1132" s="47" t="str">
        <f>IF(AND(B1132='111'!$L$11,OR($N1132=$Q$7,$O1132=$Q$7)),"x","")</f>
        <v/>
      </c>
      <c r="R1132" s="47" t="str">
        <f>IF(AND($N1132=$Q$7,$B1132&lt;'111'!$L$11),"x","")</f>
        <v/>
      </c>
      <c r="S1132" s="47" t="str">
        <f>IF(AND($O1132=$Q$7,$B1132&lt;'111'!$L$11),"x","")</f>
        <v>x</v>
      </c>
    </row>
    <row r="1133" spans="1:19" ht="15.75" customHeight="1">
      <c r="A1133" s="152" t="str">
        <f>IF(B1133&lt;&gt;"",IF(AND(B1133='IN-TC'!$S$4,OR(TH!N1133="1111",TH!O1133="1111")),TH!D1133,""),"")</f>
        <v/>
      </c>
      <c r="B1133" s="34">
        <f t="shared" si="39"/>
        <v>7</v>
      </c>
      <c r="C1133" s="35">
        <f t="shared" si="40"/>
        <v>42564</v>
      </c>
      <c r="D1133" s="212" t="s">
        <v>1012</v>
      </c>
      <c r="E1133" s="35">
        <v>42564</v>
      </c>
      <c r="F1133" s="144" t="s">
        <v>1016</v>
      </c>
      <c r="G1133" s="191"/>
      <c r="H1133" s="198"/>
      <c r="I1133" s="186"/>
      <c r="J1133" s="186"/>
      <c r="K1133" s="185"/>
      <c r="L1133" s="186"/>
      <c r="M1133" s="36">
        <v>4000000</v>
      </c>
      <c r="N1133" s="37" t="s">
        <v>34</v>
      </c>
      <c r="O1133" s="37"/>
      <c r="P1133" s="47" t="str">
        <f>IF(AND('331-CT'!$F$5=TH!H1133,OR(N1133="331",O1133="331")),"x","")</f>
        <v/>
      </c>
      <c r="Q1133" s="47" t="str">
        <f>IF(AND(B1133='111'!$L$11,OR($N1133=$Q$7,$O1133=$Q$7)),"x","")</f>
        <v/>
      </c>
      <c r="R1133" s="47" t="str">
        <f>IF(AND($N1133=$Q$7,$B1133&lt;'111'!$L$11),"x","")</f>
        <v>x</v>
      </c>
      <c r="S1133" s="47" t="str">
        <f>IF(AND($O1133=$Q$7,$B1133&lt;'111'!$L$11),"x","")</f>
        <v/>
      </c>
    </row>
    <row r="1134" spans="1:19" ht="15.75" customHeight="1">
      <c r="A1134" s="152" t="str">
        <f>IF(B1134&lt;&gt;"",IF(AND(B1134='IN-TC'!$S$4,OR(TH!N1134="1111",TH!O1134="1111")),TH!D1134,""),"")</f>
        <v/>
      </c>
      <c r="B1134" s="34">
        <f t="shared" si="39"/>
        <v>7</v>
      </c>
      <c r="C1134" s="35">
        <f t="shared" si="40"/>
        <v>42564</v>
      </c>
      <c r="D1134" s="212" t="s">
        <v>944</v>
      </c>
      <c r="E1134" s="35">
        <v>42564</v>
      </c>
      <c r="F1134" s="144" t="s">
        <v>722</v>
      </c>
      <c r="G1134" s="191"/>
      <c r="H1134" s="198"/>
      <c r="I1134" s="186"/>
      <c r="J1134" s="186"/>
      <c r="K1134" s="185"/>
      <c r="L1134" s="186"/>
      <c r="M1134" s="36">
        <v>1277000</v>
      </c>
      <c r="N1134" s="37"/>
      <c r="O1134" s="37" t="s">
        <v>34</v>
      </c>
      <c r="P1134" s="47" t="str">
        <f>IF(AND('331-CT'!$F$5=TH!H1134,OR(N1134="331",O1134="331")),"x","")</f>
        <v/>
      </c>
      <c r="Q1134" s="47" t="str">
        <f>IF(AND(B1134='111'!$L$11,OR($N1134=$Q$7,$O1134=$Q$7)),"x","")</f>
        <v/>
      </c>
      <c r="R1134" s="47" t="str">
        <f>IF(AND($N1134=$Q$7,$B1134&lt;'111'!$L$11),"x","")</f>
        <v/>
      </c>
      <c r="S1134" s="47" t="str">
        <f>IF(AND($O1134=$Q$7,$B1134&lt;'111'!$L$11),"x","")</f>
        <v>x</v>
      </c>
    </row>
    <row r="1135" spans="1:19" ht="15.75" customHeight="1">
      <c r="A1135" s="152" t="str">
        <f>IF(B1135&lt;&gt;"",IF(AND(B1135='IN-TC'!$S$4,OR(TH!N1135="1111",TH!O1135="1111")),TH!D1135,""),"")</f>
        <v/>
      </c>
      <c r="B1135" s="34">
        <f t="shared" si="39"/>
        <v>7</v>
      </c>
      <c r="C1135" s="35">
        <f t="shared" si="40"/>
        <v>42564</v>
      </c>
      <c r="D1135" s="212" t="s">
        <v>945</v>
      </c>
      <c r="E1135" s="35">
        <v>42564</v>
      </c>
      <c r="F1135" s="144" t="s">
        <v>1017</v>
      </c>
      <c r="G1135" s="191" t="s">
        <v>110</v>
      </c>
      <c r="H1135" s="198"/>
      <c r="I1135" s="186"/>
      <c r="J1135" s="186"/>
      <c r="K1135" s="185"/>
      <c r="L1135" s="186"/>
      <c r="M1135" s="36">
        <v>5825000</v>
      </c>
      <c r="N1135" s="37" t="s">
        <v>1412</v>
      </c>
      <c r="O1135" s="37" t="s">
        <v>34</v>
      </c>
      <c r="P1135" s="47" t="str">
        <f>IF(AND('331-CT'!$F$5=TH!H1135,OR(N1135="331",O1135="331")),"x","")</f>
        <v/>
      </c>
      <c r="Q1135" s="47" t="str">
        <f>IF(AND(B1135='111'!$L$11,OR($N1135=$Q$7,$O1135=$Q$7)),"x","")</f>
        <v/>
      </c>
      <c r="R1135" s="47" t="str">
        <f>IF(AND($N1135=$Q$7,$B1135&lt;'111'!$L$11),"x","")</f>
        <v/>
      </c>
      <c r="S1135" s="47" t="str">
        <f>IF(AND($O1135=$Q$7,$B1135&lt;'111'!$L$11),"x","")</f>
        <v>x</v>
      </c>
    </row>
    <row r="1136" spans="1:19" ht="15.75" customHeight="1">
      <c r="A1136" s="152" t="str">
        <f>IF(B1136&lt;&gt;"",IF(AND(B1136='IN-TC'!$S$4,OR(TH!N1136="1111",TH!O1136="1111")),TH!D1136,""),"")</f>
        <v/>
      </c>
      <c r="B1136" s="34">
        <f t="shared" si="39"/>
        <v>7</v>
      </c>
      <c r="C1136" s="35">
        <f t="shared" si="40"/>
        <v>42564</v>
      </c>
      <c r="D1136" s="212"/>
      <c r="E1136" s="35">
        <v>42564</v>
      </c>
      <c r="F1136" s="144" t="s">
        <v>1440</v>
      </c>
      <c r="G1136" s="191"/>
      <c r="H1136" s="198" t="s">
        <v>839</v>
      </c>
      <c r="I1136" s="186">
        <v>5010</v>
      </c>
      <c r="J1136" s="186">
        <v>42000</v>
      </c>
      <c r="K1136" s="185"/>
      <c r="L1136" s="186"/>
      <c r="M1136" s="36">
        <f>ROUND(I1136*J1136,0)</f>
        <v>210420000</v>
      </c>
      <c r="N1136" s="37" t="s">
        <v>1443</v>
      </c>
      <c r="O1136" s="37" t="s">
        <v>8</v>
      </c>
      <c r="P1136" s="47" t="str">
        <f>IF(AND('331-CT'!$F$5=TH!H1136,OR(N1136="331",O1136="331")),"x","")</f>
        <v/>
      </c>
      <c r="Q1136" s="47" t="str">
        <f>IF(AND(B1136='111'!$L$11,OR($N1136=$Q$7,$O1136=$Q$7)),"x","")</f>
        <v/>
      </c>
      <c r="R1136" s="47" t="str">
        <f>IF(AND($N1136=$Q$7,$B1136&lt;'111'!$L$11),"x","")</f>
        <v/>
      </c>
      <c r="S1136" s="47" t="str">
        <f>IF(AND($O1136=$Q$7,$B1136&lt;'111'!$L$11),"x","")</f>
        <v/>
      </c>
    </row>
    <row r="1137" spans="1:19" ht="15.75" customHeight="1">
      <c r="A1137" s="152" t="str">
        <f>IF(B1137&lt;&gt;"",IF(AND(B1137='IN-TC'!$S$4,OR(TH!N1137="1111",TH!O1137="1111")),TH!D1137,""),"")</f>
        <v/>
      </c>
      <c r="B1137" s="34">
        <f t="shared" si="39"/>
        <v>7</v>
      </c>
      <c r="C1137" s="35">
        <f t="shared" si="40"/>
        <v>42564</v>
      </c>
      <c r="D1137" s="212"/>
      <c r="E1137" s="35">
        <v>42564</v>
      </c>
      <c r="F1137" s="144" t="s">
        <v>1476</v>
      </c>
      <c r="G1137" s="191" t="s">
        <v>1478</v>
      </c>
      <c r="H1137" s="198" t="s">
        <v>843</v>
      </c>
      <c r="I1137" s="186">
        <v>395</v>
      </c>
      <c r="J1137" s="186">
        <v>37000</v>
      </c>
      <c r="K1137" s="185"/>
      <c r="L1137" s="186"/>
      <c r="M1137" s="36">
        <f>ROUND(I1137*J1137,0)</f>
        <v>14615000</v>
      </c>
      <c r="N1137" s="37" t="s">
        <v>1443</v>
      </c>
      <c r="O1137" s="37" t="s">
        <v>8</v>
      </c>
      <c r="P1137" s="47" t="str">
        <f>IF(AND('331-CT'!$F$5=TH!H1137,OR(N1137="331",O1137="331")),"x","")</f>
        <v/>
      </c>
      <c r="Q1137" s="47" t="str">
        <f>IF(AND(B1137='111'!$L$11,OR($N1137=$Q$7,$O1137=$Q$7)),"x","")</f>
        <v/>
      </c>
      <c r="R1137" s="47" t="str">
        <f>IF(AND($N1137=$Q$7,$B1137&lt;'111'!$L$11),"x","")</f>
        <v/>
      </c>
      <c r="S1137" s="47" t="str">
        <f>IF(AND($O1137=$Q$7,$B1137&lt;'111'!$L$11),"x","")</f>
        <v/>
      </c>
    </row>
    <row r="1138" spans="1:19" ht="15.75" customHeight="1">
      <c r="A1138" s="152" t="str">
        <f>IF(B1138&lt;&gt;"",IF(AND(B1138='IN-TC'!$S$4,OR(TH!N1138="1111",TH!O1138="1111")),TH!D1138,""),"")</f>
        <v/>
      </c>
      <c r="B1138" s="34">
        <f t="shared" si="39"/>
        <v>7</v>
      </c>
      <c r="C1138" s="35">
        <f t="shared" si="40"/>
        <v>42565</v>
      </c>
      <c r="D1138" s="212"/>
      <c r="E1138" s="35">
        <v>42565</v>
      </c>
      <c r="F1138" s="144" t="s">
        <v>1449</v>
      </c>
      <c r="G1138" s="191" t="s">
        <v>204</v>
      </c>
      <c r="H1138" s="7" t="s">
        <v>851</v>
      </c>
      <c r="I1138" s="186">
        <v>3578</v>
      </c>
      <c r="J1138" s="186">
        <v>46000</v>
      </c>
      <c r="K1138" s="185"/>
      <c r="L1138" s="186"/>
      <c r="M1138" s="36">
        <f>ROUND(I1138*J1138,-3)</f>
        <v>164588000</v>
      </c>
      <c r="N1138" s="37" t="s">
        <v>1443</v>
      </c>
      <c r="O1138" s="37" t="s">
        <v>8</v>
      </c>
      <c r="P1138" s="47" t="str">
        <f>IF(AND('331-CT'!$F$5=TH!H1138,OR(N1138="331",O1138="331")),"x","")</f>
        <v/>
      </c>
      <c r="Q1138" s="47" t="str">
        <f>IF(AND(B1138='111'!$L$11,OR($N1138=$Q$7,$O1138=$Q$7)),"x","")</f>
        <v/>
      </c>
      <c r="R1138" s="47" t="str">
        <f>IF(AND($N1138=$Q$7,$B1138&lt;'111'!$L$11),"x","")</f>
        <v/>
      </c>
      <c r="S1138" s="47" t="str">
        <f>IF(AND($O1138=$Q$7,$B1138&lt;'111'!$L$11),"x","")</f>
        <v/>
      </c>
    </row>
    <row r="1139" spans="1:19" ht="15.75" customHeight="1">
      <c r="A1139" s="152" t="str">
        <f>IF(B1139&lt;&gt;"",IF(AND(B1139='IN-TC'!$S$4,OR(TH!N1139="1111",TH!O1139="1111")),TH!D1139,""),"")</f>
        <v/>
      </c>
      <c r="B1139" s="34">
        <f t="shared" si="39"/>
        <v>7</v>
      </c>
      <c r="C1139" s="35">
        <f t="shared" si="40"/>
        <v>42565</v>
      </c>
      <c r="D1139" s="212"/>
      <c r="E1139" s="35">
        <v>42565</v>
      </c>
      <c r="F1139" s="144" t="s">
        <v>1476</v>
      </c>
      <c r="G1139" s="191" t="s">
        <v>1478</v>
      </c>
      <c r="H1139" s="198" t="s">
        <v>843</v>
      </c>
      <c r="I1139" s="186">
        <v>510</v>
      </c>
      <c r="J1139" s="186">
        <v>37000</v>
      </c>
      <c r="K1139" s="185"/>
      <c r="L1139" s="186"/>
      <c r="M1139" s="36">
        <f>ROUND(I1139*J1139,0)</f>
        <v>18870000</v>
      </c>
      <c r="N1139" s="37" t="s">
        <v>1443</v>
      </c>
      <c r="O1139" s="37" t="s">
        <v>8</v>
      </c>
      <c r="P1139" s="47" t="str">
        <f>IF(AND('331-CT'!$F$5=TH!H1139,OR(N1139="331",O1139="331")),"x","")</f>
        <v/>
      </c>
      <c r="Q1139" s="47" t="str">
        <f>IF(AND(B1139='111'!$L$11,OR($N1139=$Q$7,$O1139=$Q$7)),"x","")</f>
        <v/>
      </c>
      <c r="R1139" s="47" t="str">
        <f>IF(AND($N1139=$Q$7,$B1139&lt;'111'!$L$11),"x","")</f>
        <v/>
      </c>
      <c r="S1139" s="47" t="str">
        <f>IF(AND($O1139=$Q$7,$B1139&lt;'111'!$L$11),"x","")</f>
        <v/>
      </c>
    </row>
    <row r="1140" spans="1:19" ht="15.75" customHeight="1">
      <c r="A1140" s="152" t="str">
        <f>IF(B1140&lt;&gt;"",IF(AND(B1140='IN-TC'!$S$4,OR(TH!N1140="1111",TH!O1140="1111")),TH!D1140,""),"")</f>
        <v/>
      </c>
      <c r="B1140" s="34">
        <f t="shared" si="39"/>
        <v>7</v>
      </c>
      <c r="C1140" s="35">
        <f t="shared" si="40"/>
        <v>42566</v>
      </c>
      <c r="D1140" s="212" t="s">
        <v>1013</v>
      </c>
      <c r="E1140" s="35">
        <v>42566</v>
      </c>
      <c r="F1140" s="144" t="s">
        <v>1019</v>
      </c>
      <c r="G1140" s="191"/>
      <c r="H1140" s="198"/>
      <c r="I1140" s="186"/>
      <c r="J1140" s="186"/>
      <c r="K1140" s="185"/>
      <c r="L1140" s="186"/>
      <c r="M1140" s="36">
        <v>290000000</v>
      </c>
      <c r="N1140" s="37" t="s">
        <v>34</v>
      </c>
      <c r="O1140" s="37" t="s">
        <v>1404</v>
      </c>
      <c r="P1140" s="47" t="str">
        <f>IF(AND('331-CT'!$F$5=TH!H1140,OR(N1140="331",O1140="331")),"x","")</f>
        <v/>
      </c>
      <c r="Q1140" s="47" t="str">
        <f>IF(AND(B1140='111'!$L$11,OR($N1140=$Q$7,$O1140=$Q$7)),"x","")</f>
        <v/>
      </c>
      <c r="R1140" s="47" t="str">
        <f>IF(AND($N1140=$Q$7,$B1140&lt;'111'!$L$11),"x","")</f>
        <v>x</v>
      </c>
      <c r="S1140" s="47" t="str">
        <f>IF(AND($O1140=$Q$7,$B1140&lt;'111'!$L$11),"x","")</f>
        <v/>
      </c>
    </row>
    <row r="1141" spans="1:19" ht="15.75" customHeight="1">
      <c r="A1141" s="152" t="str">
        <f>IF(B1141&lt;&gt;"",IF(AND(B1141='IN-TC'!$S$4,OR(TH!N1141="1111",TH!O1141="1111")),TH!D1141,""),"")</f>
        <v/>
      </c>
      <c r="B1141" s="34">
        <f t="shared" si="39"/>
        <v>7</v>
      </c>
      <c r="C1141" s="35">
        <f t="shared" si="40"/>
        <v>42566</v>
      </c>
      <c r="D1141" s="212" t="s">
        <v>946</v>
      </c>
      <c r="E1141" s="35">
        <v>42566</v>
      </c>
      <c r="F1141" s="144" t="s">
        <v>1018</v>
      </c>
      <c r="G1141" s="191"/>
      <c r="H1141" s="198"/>
      <c r="I1141" s="186"/>
      <c r="J1141" s="186"/>
      <c r="K1141" s="185"/>
      <c r="L1141" s="186"/>
      <c r="M1141" s="36">
        <v>30000000</v>
      </c>
      <c r="N1141" s="37"/>
      <c r="O1141" s="37" t="s">
        <v>34</v>
      </c>
      <c r="P1141" s="47" t="str">
        <f>IF(AND('331-CT'!$F$5=TH!H1141,OR(N1141="331",O1141="331")),"x","")</f>
        <v/>
      </c>
      <c r="Q1141" s="47" t="str">
        <f>IF(AND(B1141='111'!$L$11,OR($N1141=$Q$7,$O1141=$Q$7)),"x","")</f>
        <v/>
      </c>
      <c r="R1141" s="47" t="str">
        <f>IF(AND($N1141=$Q$7,$B1141&lt;'111'!$L$11),"x","")</f>
        <v/>
      </c>
      <c r="S1141" s="47" t="str">
        <f>IF(AND($O1141=$Q$7,$B1141&lt;'111'!$L$11),"x","")</f>
        <v>x</v>
      </c>
    </row>
    <row r="1142" spans="1:19" ht="15.75" customHeight="1">
      <c r="A1142" s="152" t="str">
        <f>IF(B1142&lt;&gt;"",IF(AND(B1142='IN-TC'!$S$4,OR(TH!N1142="1111",TH!O1142="1111")),TH!D1142,""),"")</f>
        <v/>
      </c>
      <c r="B1142" s="34">
        <f t="shared" si="39"/>
        <v>7</v>
      </c>
      <c r="C1142" s="35">
        <f t="shared" si="40"/>
        <v>42566</v>
      </c>
      <c r="D1142" s="212" t="s">
        <v>947</v>
      </c>
      <c r="E1142" s="35">
        <v>42566</v>
      </c>
      <c r="F1142" s="144" t="s">
        <v>784</v>
      </c>
      <c r="G1142" s="191" t="s">
        <v>204</v>
      </c>
      <c r="H1142" s="198"/>
      <c r="I1142" s="186"/>
      <c r="J1142" s="186"/>
      <c r="K1142" s="185"/>
      <c r="L1142" s="186"/>
      <c r="M1142" s="36">
        <v>200000000</v>
      </c>
      <c r="N1142" s="37" t="s">
        <v>35</v>
      </c>
      <c r="O1142" s="37" t="s">
        <v>34</v>
      </c>
      <c r="P1142" s="47" t="str">
        <f>IF(AND('331-CT'!$F$5=TH!H1142,OR(N1142="331",O1142="331")),"x","")</f>
        <v/>
      </c>
      <c r="Q1142" s="47" t="str">
        <f>IF(AND(B1142='111'!$L$11,OR($N1142=$Q$7,$O1142=$Q$7)),"x","")</f>
        <v/>
      </c>
      <c r="R1142" s="47" t="str">
        <f>IF(AND($N1142=$Q$7,$B1142&lt;'111'!$L$11),"x","")</f>
        <v/>
      </c>
      <c r="S1142" s="47" t="str">
        <f>IF(AND($O1142=$Q$7,$B1142&lt;'111'!$L$11),"x","")</f>
        <v>x</v>
      </c>
    </row>
    <row r="1143" spans="1:19" ht="15.75" customHeight="1">
      <c r="A1143" s="152" t="str">
        <f>IF(B1143&lt;&gt;"",IF(AND(B1143='IN-TC'!$S$4,OR(TH!N1143="1111",TH!O1143="1111")),TH!D1143,""),"")</f>
        <v/>
      </c>
      <c r="B1143" s="34">
        <f t="shared" si="39"/>
        <v>7</v>
      </c>
      <c r="C1143" s="35">
        <f t="shared" si="40"/>
        <v>42566</v>
      </c>
      <c r="D1143" s="212" t="s">
        <v>1014</v>
      </c>
      <c r="E1143" s="35">
        <v>42566</v>
      </c>
      <c r="F1143" s="144" t="s">
        <v>1020</v>
      </c>
      <c r="G1143" s="191" t="s">
        <v>204</v>
      </c>
      <c r="H1143" s="198"/>
      <c r="I1143" s="186"/>
      <c r="J1143" s="186"/>
      <c r="K1143" s="185"/>
      <c r="L1143" s="186"/>
      <c r="M1143" s="36">
        <v>50000000</v>
      </c>
      <c r="N1143" s="37" t="s">
        <v>34</v>
      </c>
      <c r="O1143" s="37" t="s">
        <v>35</v>
      </c>
      <c r="P1143" s="47" t="str">
        <f>IF(AND('331-CT'!$F$5=TH!H1143,OR(N1143="331",O1143="331")),"x","")</f>
        <v/>
      </c>
      <c r="Q1143" s="47" t="str">
        <f>IF(AND(B1143='111'!$L$11,OR($N1143=$Q$7,$O1143=$Q$7)),"x","")</f>
        <v/>
      </c>
      <c r="R1143" s="47" t="str">
        <f>IF(AND($N1143=$Q$7,$B1143&lt;'111'!$L$11),"x","")</f>
        <v>x</v>
      </c>
      <c r="S1143" s="47" t="str">
        <f>IF(AND($O1143=$Q$7,$B1143&lt;'111'!$L$11),"x","")</f>
        <v/>
      </c>
    </row>
    <row r="1144" spans="1:19" ht="15.75" customHeight="1">
      <c r="A1144" s="152" t="str">
        <f>IF(B1144&lt;&gt;"",IF(AND(B1144='IN-TC'!$S$4,OR(TH!N1144="1111",TH!O1144="1111")),TH!D1144,""),"")</f>
        <v/>
      </c>
      <c r="B1144" s="34">
        <f t="shared" si="39"/>
        <v>7</v>
      </c>
      <c r="C1144" s="35">
        <f t="shared" si="40"/>
        <v>42566</v>
      </c>
      <c r="D1144" s="212" t="s">
        <v>948</v>
      </c>
      <c r="E1144" s="35">
        <v>42566</v>
      </c>
      <c r="F1144" s="144" t="s">
        <v>1021</v>
      </c>
      <c r="G1144" s="191"/>
      <c r="H1144" s="198"/>
      <c r="I1144" s="186"/>
      <c r="J1144" s="186"/>
      <c r="K1144" s="185"/>
      <c r="L1144" s="186"/>
      <c r="M1144" s="36">
        <v>500000</v>
      </c>
      <c r="N1144" s="37"/>
      <c r="O1144" s="37" t="s">
        <v>34</v>
      </c>
      <c r="P1144" s="47" t="str">
        <f>IF(AND('331-CT'!$F$5=TH!H1144,OR(N1144="331",O1144="331")),"x","")</f>
        <v/>
      </c>
      <c r="Q1144" s="47" t="str">
        <f>IF(AND(B1144='111'!$L$11,OR($N1144=$Q$7,$O1144=$Q$7)),"x","")</f>
        <v/>
      </c>
      <c r="R1144" s="47" t="str">
        <f>IF(AND($N1144=$Q$7,$B1144&lt;'111'!$L$11),"x","")</f>
        <v/>
      </c>
      <c r="S1144" s="47" t="str">
        <f>IF(AND($O1144=$Q$7,$B1144&lt;'111'!$L$11),"x","")</f>
        <v>x</v>
      </c>
    </row>
    <row r="1145" spans="1:19" ht="15.75" customHeight="1">
      <c r="A1145" s="152" t="str">
        <f>IF(B1145&lt;&gt;"",IF(AND(B1145='IN-TC'!$S$4,OR(TH!N1145="1111",TH!O1145="1111")),TH!D1145,""),"")</f>
        <v/>
      </c>
      <c r="B1145" s="34">
        <f t="shared" si="39"/>
        <v>7</v>
      </c>
      <c r="C1145" s="35">
        <f t="shared" si="40"/>
        <v>42566</v>
      </c>
      <c r="D1145" s="212" t="s">
        <v>949</v>
      </c>
      <c r="E1145" s="35">
        <v>42566</v>
      </c>
      <c r="F1145" s="144" t="s">
        <v>1022</v>
      </c>
      <c r="G1145" s="191" t="s">
        <v>212</v>
      </c>
      <c r="H1145" s="198"/>
      <c r="I1145" s="186"/>
      <c r="J1145" s="186"/>
      <c r="K1145" s="185"/>
      <c r="L1145" s="186"/>
      <c r="M1145" s="36">
        <v>162710000</v>
      </c>
      <c r="N1145" s="37"/>
      <c r="O1145" s="37" t="s">
        <v>34</v>
      </c>
      <c r="P1145" s="47" t="str">
        <f>IF(AND('331-CT'!$F$5=TH!H1145,OR(N1145="331",O1145="331")),"x","")</f>
        <v/>
      </c>
      <c r="Q1145" s="47" t="str">
        <f>IF(AND(B1145='111'!$L$11,OR($N1145=$Q$7,$O1145=$Q$7)),"x","")</f>
        <v/>
      </c>
      <c r="R1145" s="47" t="str">
        <f>IF(AND($N1145=$Q$7,$B1145&lt;'111'!$L$11),"x","")</f>
        <v/>
      </c>
      <c r="S1145" s="47" t="str">
        <f>IF(AND($O1145=$Q$7,$B1145&lt;'111'!$L$11),"x","")</f>
        <v>x</v>
      </c>
    </row>
    <row r="1146" spans="1:19" ht="15.75" customHeight="1">
      <c r="A1146" s="152" t="str">
        <f>IF(B1146&lt;&gt;"",IF(AND(B1146='IN-TC'!$S$4,OR(TH!N1146="1111",TH!O1146="1111")),TH!D1146,""),"")</f>
        <v/>
      </c>
      <c r="B1146" s="34">
        <f t="shared" si="39"/>
        <v>7</v>
      </c>
      <c r="C1146" s="35">
        <f t="shared" si="40"/>
        <v>42566</v>
      </c>
      <c r="D1146" s="212" t="s">
        <v>950</v>
      </c>
      <c r="E1146" s="35">
        <v>42566</v>
      </c>
      <c r="F1146" s="144" t="s">
        <v>1023</v>
      </c>
      <c r="G1146" s="191"/>
      <c r="H1146" s="198"/>
      <c r="I1146" s="186"/>
      <c r="J1146" s="186"/>
      <c r="K1146" s="185"/>
      <c r="L1146" s="186"/>
      <c r="M1146" s="36">
        <v>1500000</v>
      </c>
      <c r="N1146" s="37"/>
      <c r="O1146" s="37" t="s">
        <v>34</v>
      </c>
      <c r="P1146" s="47" t="str">
        <f>IF(AND('331-CT'!$F$5=TH!H1146,OR(N1146="331",O1146="331")),"x","")</f>
        <v/>
      </c>
      <c r="Q1146" s="47" t="str">
        <f>IF(AND(B1146='111'!$L$11,OR($N1146=$Q$7,$O1146=$Q$7)),"x","")</f>
        <v/>
      </c>
      <c r="R1146" s="47" t="str">
        <f>IF(AND($N1146=$Q$7,$B1146&lt;'111'!$L$11),"x","")</f>
        <v/>
      </c>
      <c r="S1146" s="47" t="str">
        <f>IF(AND($O1146=$Q$7,$B1146&lt;'111'!$L$11),"x","")</f>
        <v>x</v>
      </c>
    </row>
    <row r="1147" spans="1:19" ht="15.75" customHeight="1">
      <c r="A1147" s="152" t="str">
        <f>IF(B1147&lt;&gt;"",IF(AND(B1147='IN-TC'!$S$4,OR(TH!N1147="1111",TH!O1147="1111")),TH!D1147,""),"")</f>
        <v/>
      </c>
      <c r="B1147" s="34">
        <f t="shared" si="39"/>
        <v>7</v>
      </c>
      <c r="C1147" s="35">
        <f t="shared" si="40"/>
        <v>42566</v>
      </c>
      <c r="D1147" s="212"/>
      <c r="E1147" s="35">
        <v>42566</v>
      </c>
      <c r="F1147" s="144" t="s">
        <v>1476</v>
      </c>
      <c r="G1147" s="191" t="s">
        <v>1478</v>
      </c>
      <c r="H1147" s="198" t="s">
        <v>843</v>
      </c>
      <c r="I1147" s="186">
        <v>760</v>
      </c>
      <c r="J1147" s="186">
        <v>37000</v>
      </c>
      <c r="K1147" s="185"/>
      <c r="L1147" s="186"/>
      <c r="M1147" s="36">
        <f>ROUND(I1147*J1147,0)</f>
        <v>28120000</v>
      </c>
      <c r="N1147" s="37" t="s">
        <v>1443</v>
      </c>
      <c r="O1147" s="37" t="s">
        <v>8</v>
      </c>
      <c r="P1147" s="47" t="str">
        <f>IF(AND('331-CT'!$F$5=TH!H1147,OR(N1147="331",O1147="331")),"x","")</f>
        <v/>
      </c>
      <c r="Q1147" s="47" t="str">
        <f>IF(AND(B1147='111'!$L$11,OR($N1147=$Q$7,$O1147=$Q$7)),"x","")</f>
        <v/>
      </c>
      <c r="R1147" s="47" t="str">
        <f>IF(AND($N1147=$Q$7,$B1147&lt;'111'!$L$11),"x","")</f>
        <v/>
      </c>
      <c r="S1147" s="47" t="str">
        <f>IF(AND($O1147=$Q$7,$B1147&lt;'111'!$L$11),"x","")</f>
        <v/>
      </c>
    </row>
    <row r="1148" spans="1:19" ht="15.75" customHeight="1">
      <c r="A1148" s="152" t="str">
        <f>IF(B1148&lt;&gt;"",IF(AND(B1148='IN-TC'!$S$4,OR(TH!N1148="1111",TH!O1148="1111")),TH!D1148,""),"")</f>
        <v/>
      </c>
      <c r="B1148" s="34">
        <f t="shared" si="39"/>
        <v>7</v>
      </c>
      <c r="C1148" s="35">
        <f t="shared" si="40"/>
        <v>42566</v>
      </c>
      <c r="D1148" s="212"/>
      <c r="E1148" s="35">
        <v>42566</v>
      </c>
      <c r="F1148" s="144" t="s">
        <v>1479</v>
      </c>
      <c r="G1148" s="191"/>
      <c r="H1148" s="198" t="s">
        <v>843</v>
      </c>
      <c r="I1148" s="186"/>
      <c r="J1148" s="186"/>
      <c r="K1148" s="185"/>
      <c r="L1148" s="186"/>
      <c r="M1148" s="36">
        <v>36745000</v>
      </c>
      <c r="N1148" s="37" t="s">
        <v>1443</v>
      </c>
      <c r="O1148" s="37" t="s">
        <v>8</v>
      </c>
      <c r="P1148" s="47" t="str">
        <f>IF(AND('331-CT'!$F$5=TH!H1148,OR(N1148="331",O1148="331")),"x","")</f>
        <v/>
      </c>
      <c r="Q1148" s="47" t="str">
        <f>IF(AND(B1148='111'!$L$11,OR($N1148=$Q$7,$O1148=$Q$7)),"x","")</f>
        <v/>
      </c>
      <c r="R1148" s="47" t="str">
        <f>IF(AND($N1148=$Q$7,$B1148&lt;'111'!$L$11),"x","")</f>
        <v/>
      </c>
      <c r="S1148" s="47" t="str">
        <f>IF(AND($O1148=$Q$7,$B1148&lt;'111'!$L$11),"x","")</f>
        <v/>
      </c>
    </row>
    <row r="1149" spans="1:19" ht="15.75" customHeight="1">
      <c r="A1149" s="152" t="str">
        <f>IF(B1149&lt;&gt;"",IF(AND(B1149='IN-TC'!$S$4,OR(TH!N1149="1111",TH!O1149="1111")),TH!D1149,""),"")</f>
        <v/>
      </c>
      <c r="B1149" s="34">
        <f t="shared" si="39"/>
        <v>7</v>
      </c>
      <c r="C1149" s="35">
        <f t="shared" si="40"/>
        <v>42567</v>
      </c>
      <c r="D1149" s="212" t="s">
        <v>951</v>
      </c>
      <c r="E1149" s="35">
        <v>42567</v>
      </c>
      <c r="F1149" s="144" t="s">
        <v>1024</v>
      </c>
      <c r="G1149" s="191"/>
      <c r="H1149" s="198"/>
      <c r="I1149" s="186"/>
      <c r="J1149" s="186"/>
      <c r="K1149" s="185"/>
      <c r="L1149" s="186"/>
      <c r="M1149" s="36">
        <v>17655000</v>
      </c>
      <c r="N1149" s="37"/>
      <c r="O1149" s="37" t="s">
        <v>34</v>
      </c>
      <c r="P1149" s="47" t="str">
        <f>IF(AND('331-CT'!$F$5=TH!H1149,OR(N1149="331",O1149="331")),"x","")</f>
        <v/>
      </c>
      <c r="Q1149" s="47" t="str">
        <f>IF(AND(B1149='111'!$L$11,OR($N1149=$Q$7,$O1149=$Q$7)),"x","")</f>
        <v/>
      </c>
      <c r="R1149" s="47" t="str">
        <f>IF(AND($N1149=$Q$7,$B1149&lt;'111'!$L$11),"x","")</f>
        <v/>
      </c>
      <c r="S1149" s="47" t="str">
        <f>IF(AND($O1149=$Q$7,$B1149&lt;'111'!$L$11),"x","")</f>
        <v>x</v>
      </c>
    </row>
    <row r="1150" spans="1:19" ht="15.75" customHeight="1">
      <c r="A1150" s="152" t="str">
        <f>IF(B1150&lt;&gt;"",IF(AND(B1150='IN-TC'!$S$4,OR(TH!N1150="1111",TH!O1150="1111")),TH!D1150,""),"")</f>
        <v/>
      </c>
      <c r="B1150" s="34">
        <f t="shared" si="39"/>
        <v>7</v>
      </c>
      <c r="C1150" s="35">
        <f t="shared" si="40"/>
        <v>42567</v>
      </c>
      <c r="D1150" s="212" t="s">
        <v>952</v>
      </c>
      <c r="E1150" s="35">
        <v>42567</v>
      </c>
      <c r="F1150" s="144" t="s">
        <v>1025</v>
      </c>
      <c r="G1150" s="191"/>
      <c r="H1150" s="198"/>
      <c r="I1150" s="186"/>
      <c r="J1150" s="186"/>
      <c r="K1150" s="185"/>
      <c r="L1150" s="186"/>
      <c r="M1150" s="36">
        <v>300000</v>
      </c>
      <c r="N1150" s="37"/>
      <c r="O1150" s="37" t="s">
        <v>34</v>
      </c>
      <c r="P1150" s="47" t="str">
        <f>IF(AND('331-CT'!$F$5=TH!H1150,OR(N1150="331",O1150="331")),"x","")</f>
        <v/>
      </c>
      <c r="Q1150" s="47" t="str">
        <f>IF(AND(B1150='111'!$L$11,OR($N1150=$Q$7,$O1150=$Q$7)),"x","")</f>
        <v/>
      </c>
      <c r="R1150" s="47" t="str">
        <f>IF(AND($N1150=$Q$7,$B1150&lt;'111'!$L$11),"x","")</f>
        <v/>
      </c>
      <c r="S1150" s="47" t="str">
        <f>IF(AND($O1150=$Q$7,$B1150&lt;'111'!$L$11),"x","")</f>
        <v>x</v>
      </c>
    </row>
    <row r="1151" spans="1:19" ht="15.75" customHeight="1">
      <c r="A1151" s="152" t="str">
        <f>IF(B1151&lt;&gt;"",IF(AND(B1151='IN-TC'!$S$4,OR(TH!N1151="1111",TH!O1151="1111")),TH!D1151,""),"")</f>
        <v/>
      </c>
      <c r="B1151" s="34">
        <f t="shared" si="39"/>
        <v>7</v>
      </c>
      <c r="C1151" s="35">
        <f t="shared" si="40"/>
        <v>42567</v>
      </c>
      <c r="D1151" s="212"/>
      <c r="E1151" s="35">
        <v>42567</v>
      </c>
      <c r="F1151" s="144" t="s">
        <v>1467</v>
      </c>
      <c r="G1151" s="191"/>
      <c r="H1151" s="198" t="s">
        <v>831</v>
      </c>
      <c r="I1151" s="186">
        <v>2060</v>
      </c>
      <c r="J1151" s="186">
        <v>12000</v>
      </c>
      <c r="K1151" s="185"/>
      <c r="L1151" s="186"/>
      <c r="M1151" s="36">
        <f>ROUND(I1151*J1151,0)</f>
        <v>24720000</v>
      </c>
      <c r="N1151" s="37" t="s">
        <v>1443</v>
      </c>
      <c r="O1151" s="37" t="s">
        <v>8</v>
      </c>
      <c r="P1151" s="47" t="str">
        <f>IF(AND('331-CT'!$F$5=TH!H1151,OR(N1151="331",O1151="331")),"x","")</f>
        <v/>
      </c>
      <c r="Q1151" s="47" t="str">
        <f>IF(AND(B1151='111'!$L$11,OR($N1151=$Q$7,$O1151=$Q$7)),"x","")</f>
        <v/>
      </c>
      <c r="R1151" s="47" t="str">
        <f>IF(AND($N1151=$Q$7,$B1151&lt;'111'!$L$11),"x","")</f>
        <v/>
      </c>
      <c r="S1151" s="47" t="str">
        <f>IF(AND($O1151=$Q$7,$B1151&lt;'111'!$L$11),"x","")</f>
        <v/>
      </c>
    </row>
    <row r="1152" spans="1:19" ht="15.75" customHeight="1">
      <c r="A1152" s="152" t="str">
        <f>IF(B1152&lt;&gt;"",IF(AND(B1152='IN-TC'!$S$4,OR(TH!N1152="1111",TH!O1152="1111")),TH!D1152,""),"")</f>
        <v/>
      </c>
      <c r="B1152" s="34">
        <f t="shared" si="39"/>
        <v>7</v>
      </c>
      <c r="C1152" s="35">
        <f t="shared" si="40"/>
        <v>42567</v>
      </c>
      <c r="D1152" s="212"/>
      <c r="E1152" s="35">
        <v>42567</v>
      </c>
      <c r="F1152" s="144" t="s">
        <v>1466</v>
      </c>
      <c r="G1152" s="191" t="s">
        <v>204</v>
      </c>
      <c r="H1152" s="198" t="s">
        <v>832</v>
      </c>
      <c r="I1152" s="186">
        <v>1302</v>
      </c>
      <c r="J1152" s="186">
        <v>15000</v>
      </c>
      <c r="K1152" s="185"/>
      <c r="L1152" s="186"/>
      <c r="M1152" s="36">
        <f>ROUND(I1152*J1152,0)</f>
        <v>19530000</v>
      </c>
      <c r="N1152" s="37" t="s">
        <v>1443</v>
      </c>
      <c r="O1152" s="37" t="s">
        <v>8</v>
      </c>
      <c r="P1152" s="47" t="str">
        <f>IF(AND('331-CT'!$F$5=TH!H1152,OR(N1152="331",O1152="331")),"x","")</f>
        <v/>
      </c>
      <c r="Q1152" s="47" t="str">
        <f>IF(AND(B1152='111'!$L$11,OR($N1152=$Q$7,$O1152=$Q$7)),"x","")</f>
        <v/>
      </c>
      <c r="R1152" s="47" t="str">
        <f>IF(AND($N1152=$Q$7,$B1152&lt;'111'!$L$11),"x","")</f>
        <v/>
      </c>
      <c r="S1152" s="47" t="str">
        <f>IF(AND($O1152=$Q$7,$B1152&lt;'111'!$L$11),"x","")</f>
        <v/>
      </c>
    </row>
    <row r="1153" spans="1:19" ht="15.75" customHeight="1">
      <c r="A1153" s="152" t="str">
        <f>IF(B1153&lt;&gt;"",IF(AND(B1153='IN-TC'!$S$4,OR(TH!N1153="1111",TH!O1153="1111")),TH!D1153,""),"")</f>
        <v/>
      </c>
      <c r="B1153" s="34">
        <f t="shared" si="39"/>
        <v>7</v>
      </c>
      <c r="C1153" s="35">
        <f t="shared" si="40"/>
        <v>42568</v>
      </c>
      <c r="D1153" s="212"/>
      <c r="E1153" s="35">
        <v>42568</v>
      </c>
      <c r="F1153" s="144" t="s">
        <v>1467</v>
      </c>
      <c r="G1153" s="191"/>
      <c r="H1153" s="198" t="s">
        <v>831</v>
      </c>
      <c r="I1153" s="186">
        <v>1950</v>
      </c>
      <c r="J1153" s="186">
        <v>12000</v>
      </c>
      <c r="K1153" s="185"/>
      <c r="L1153" s="186"/>
      <c r="M1153" s="36">
        <f>ROUND(I1153*J1153,0)</f>
        <v>23400000</v>
      </c>
      <c r="N1153" s="37" t="s">
        <v>1443</v>
      </c>
      <c r="O1153" s="37" t="s">
        <v>8</v>
      </c>
      <c r="P1153" s="47" t="str">
        <f>IF(AND('331-CT'!$F$5=TH!H1153,OR(N1153="331",O1153="331")),"x","")</f>
        <v/>
      </c>
      <c r="Q1153" s="47" t="str">
        <f>IF(AND(B1153='111'!$L$11,OR($N1153=$Q$7,$O1153=$Q$7)),"x","")</f>
        <v/>
      </c>
      <c r="R1153" s="47" t="str">
        <f>IF(AND($N1153=$Q$7,$B1153&lt;'111'!$L$11),"x","")</f>
        <v/>
      </c>
      <c r="S1153" s="47" t="str">
        <f>IF(AND($O1153=$Q$7,$B1153&lt;'111'!$L$11),"x","")</f>
        <v/>
      </c>
    </row>
    <row r="1154" spans="1:19" ht="15.75" customHeight="1">
      <c r="A1154" s="152" t="str">
        <f>IF(B1154&lt;&gt;"",IF(AND(B1154='IN-TC'!$S$4,OR(TH!N1154="1111",TH!O1154="1111")),TH!D1154,""),"")</f>
        <v/>
      </c>
      <c r="B1154" s="34">
        <f t="shared" si="39"/>
        <v>7</v>
      </c>
      <c r="C1154" s="35">
        <f t="shared" si="40"/>
        <v>42569</v>
      </c>
      <c r="D1154" s="212" t="s">
        <v>953</v>
      </c>
      <c r="E1154" s="35">
        <v>42569</v>
      </c>
      <c r="F1154" s="144" t="s">
        <v>1026</v>
      </c>
      <c r="G1154" s="191" t="s">
        <v>110</v>
      </c>
      <c r="H1154" s="198"/>
      <c r="I1154" s="186"/>
      <c r="J1154" s="186"/>
      <c r="K1154" s="185"/>
      <c r="L1154" s="186"/>
      <c r="M1154" s="36">
        <v>4000000</v>
      </c>
      <c r="N1154" s="37"/>
      <c r="O1154" s="37" t="s">
        <v>34</v>
      </c>
      <c r="P1154" s="47" t="str">
        <f>IF(AND('331-CT'!$F$5=TH!H1154,OR(N1154="331",O1154="331")),"x","")</f>
        <v/>
      </c>
      <c r="Q1154" s="47" t="str">
        <f>IF(AND(B1154='111'!$L$11,OR($N1154=$Q$7,$O1154=$Q$7)),"x","")</f>
        <v/>
      </c>
      <c r="R1154" s="47" t="str">
        <f>IF(AND($N1154=$Q$7,$B1154&lt;'111'!$L$11),"x","")</f>
        <v/>
      </c>
      <c r="S1154" s="47" t="str">
        <f>IF(AND($O1154=$Q$7,$B1154&lt;'111'!$L$11),"x","")</f>
        <v>x</v>
      </c>
    </row>
    <row r="1155" spans="1:19" ht="15.75" customHeight="1">
      <c r="A1155" s="152" t="str">
        <f>IF(B1155&lt;&gt;"",IF(AND(B1155='IN-TC'!$S$4,OR(TH!N1155="1111",TH!O1155="1111")),TH!D1155,""),"")</f>
        <v/>
      </c>
      <c r="B1155" s="34">
        <f t="shared" si="39"/>
        <v>7</v>
      </c>
      <c r="C1155" s="35">
        <f t="shared" si="40"/>
        <v>42569</v>
      </c>
      <c r="D1155" s="212" t="s">
        <v>954</v>
      </c>
      <c r="E1155" s="35">
        <v>42569</v>
      </c>
      <c r="F1155" s="144" t="s">
        <v>736</v>
      </c>
      <c r="G1155" s="191"/>
      <c r="H1155" s="198"/>
      <c r="I1155" s="186"/>
      <c r="J1155" s="186"/>
      <c r="K1155" s="185"/>
      <c r="L1155" s="186"/>
      <c r="M1155" s="36">
        <v>4537000</v>
      </c>
      <c r="N1155" s="37"/>
      <c r="O1155" s="37" t="s">
        <v>34</v>
      </c>
      <c r="P1155" s="47" t="str">
        <f>IF(AND('331-CT'!$F$5=TH!H1155,OR(N1155="331",O1155="331")),"x","")</f>
        <v/>
      </c>
      <c r="Q1155" s="47" t="str">
        <f>IF(AND(B1155='111'!$L$11,OR($N1155=$Q$7,$O1155=$Q$7)),"x","")</f>
        <v/>
      </c>
      <c r="R1155" s="47" t="str">
        <f>IF(AND($N1155=$Q$7,$B1155&lt;'111'!$L$11),"x","")</f>
        <v/>
      </c>
      <c r="S1155" s="47" t="str">
        <f>IF(AND($O1155=$Q$7,$B1155&lt;'111'!$L$11),"x","")</f>
        <v>x</v>
      </c>
    </row>
    <row r="1156" spans="1:19" ht="15.75" customHeight="1">
      <c r="A1156" s="152" t="str">
        <f>IF(B1156&lt;&gt;"",IF(AND(B1156='IN-TC'!$S$4,OR(TH!N1156="1111",TH!O1156="1111")),TH!D1156,""),"")</f>
        <v/>
      </c>
      <c r="B1156" s="34">
        <f t="shared" si="39"/>
        <v>7</v>
      </c>
      <c r="C1156" s="35">
        <f t="shared" si="40"/>
        <v>42569</v>
      </c>
      <c r="D1156" s="212" t="s">
        <v>955</v>
      </c>
      <c r="E1156" s="35">
        <v>42569</v>
      </c>
      <c r="F1156" s="144" t="s">
        <v>671</v>
      </c>
      <c r="G1156" s="191"/>
      <c r="H1156" s="198"/>
      <c r="I1156" s="186"/>
      <c r="J1156" s="186"/>
      <c r="K1156" s="185"/>
      <c r="L1156" s="186"/>
      <c r="M1156" s="36">
        <v>500000</v>
      </c>
      <c r="N1156" s="37"/>
      <c r="O1156" s="37" t="s">
        <v>34</v>
      </c>
      <c r="P1156" s="47" t="str">
        <f>IF(AND('331-CT'!$F$5=TH!H1156,OR(N1156="331",O1156="331")),"x","")</f>
        <v/>
      </c>
      <c r="Q1156" s="47" t="str">
        <f>IF(AND(B1156='111'!$L$11,OR($N1156=$Q$7,$O1156=$Q$7)),"x","")</f>
        <v/>
      </c>
      <c r="R1156" s="47" t="str">
        <f>IF(AND($N1156=$Q$7,$B1156&lt;'111'!$L$11),"x","")</f>
        <v/>
      </c>
      <c r="S1156" s="47" t="str">
        <f>IF(AND($O1156=$Q$7,$B1156&lt;'111'!$L$11),"x","")</f>
        <v>x</v>
      </c>
    </row>
    <row r="1157" spans="1:19" ht="15.75" customHeight="1">
      <c r="A1157" s="152" t="str">
        <f>IF(B1157&lt;&gt;"",IF(AND(B1157='IN-TC'!$S$4,OR(TH!N1157="1111",TH!O1157="1111")),TH!D1157,""),"")</f>
        <v/>
      </c>
      <c r="B1157" s="34">
        <f t="shared" si="39"/>
        <v>7</v>
      </c>
      <c r="C1157" s="35">
        <f t="shared" si="40"/>
        <v>42569</v>
      </c>
      <c r="D1157" s="212" t="s">
        <v>956</v>
      </c>
      <c r="E1157" s="35">
        <v>42569</v>
      </c>
      <c r="F1157" s="144" t="s">
        <v>279</v>
      </c>
      <c r="G1157" s="191"/>
      <c r="H1157" s="198"/>
      <c r="I1157" s="186"/>
      <c r="J1157" s="186"/>
      <c r="K1157" s="185"/>
      <c r="L1157" s="186"/>
      <c r="M1157" s="36">
        <v>335000</v>
      </c>
      <c r="N1157" s="37"/>
      <c r="O1157" s="37" t="s">
        <v>34</v>
      </c>
      <c r="P1157" s="47" t="str">
        <f>IF(AND('331-CT'!$F$5=TH!H1157,OR(N1157="331",O1157="331")),"x","")</f>
        <v/>
      </c>
      <c r="Q1157" s="47" t="str">
        <f>IF(AND(B1157='111'!$L$11,OR($N1157=$Q$7,$O1157=$Q$7)),"x","")</f>
        <v/>
      </c>
      <c r="R1157" s="47" t="str">
        <f>IF(AND($N1157=$Q$7,$B1157&lt;'111'!$L$11),"x","")</f>
        <v/>
      </c>
      <c r="S1157" s="47" t="str">
        <f>IF(AND($O1157=$Q$7,$B1157&lt;'111'!$L$11),"x","")</f>
        <v>x</v>
      </c>
    </row>
    <row r="1158" spans="1:19" ht="15.75" customHeight="1">
      <c r="A1158" s="152" t="str">
        <f>IF(B1158&lt;&gt;"",IF(AND(B1158='IN-TC'!$S$4,OR(TH!N1158="1111",TH!O1158="1111")),TH!D1158,""),"")</f>
        <v/>
      </c>
      <c r="B1158" s="34">
        <f t="shared" si="39"/>
        <v>7</v>
      </c>
      <c r="C1158" s="35">
        <f t="shared" si="40"/>
        <v>42569</v>
      </c>
      <c r="D1158" s="212" t="s">
        <v>1015</v>
      </c>
      <c r="E1158" s="35">
        <v>42569</v>
      </c>
      <c r="F1158" s="144" t="s">
        <v>1027</v>
      </c>
      <c r="G1158" s="191" t="s">
        <v>110</v>
      </c>
      <c r="H1158" s="198"/>
      <c r="I1158" s="186"/>
      <c r="J1158" s="186"/>
      <c r="K1158" s="185"/>
      <c r="L1158" s="186"/>
      <c r="M1158" s="36">
        <v>5000000</v>
      </c>
      <c r="N1158" s="37" t="s">
        <v>34</v>
      </c>
      <c r="O1158" s="37"/>
      <c r="P1158" s="47" t="str">
        <f>IF(AND('331-CT'!$F$5=TH!H1158,OR(N1158="331",O1158="331")),"x","")</f>
        <v/>
      </c>
      <c r="Q1158" s="47" t="str">
        <f>IF(AND(B1158='111'!$L$11,OR($N1158=$Q$7,$O1158=$Q$7)),"x","")</f>
        <v/>
      </c>
      <c r="R1158" s="47" t="str">
        <f>IF(AND($N1158=$Q$7,$B1158&lt;'111'!$L$11),"x","")</f>
        <v>x</v>
      </c>
      <c r="S1158" s="47" t="str">
        <f>IF(AND($O1158=$Q$7,$B1158&lt;'111'!$L$11),"x","")</f>
        <v/>
      </c>
    </row>
    <row r="1159" spans="1:19" ht="15.75" customHeight="1">
      <c r="A1159" s="152" t="str">
        <f>IF(B1159&lt;&gt;"",IF(AND(B1159='IN-TC'!$S$4,OR(TH!N1159="1111",TH!O1159="1111")),TH!D1159,""),"")</f>
        <v/>
      </c>
      <c r="B1159" s="34">
        <f t="shared" si="39"/>
        <v>7</v>
      </c>
      <c r="C1159" s="35">
        <f t="shared" si="40"/>
        <v>42569</v>
      </c>
      <c r="D1159" s="212" t="s">
        <v>957</v>
      </c>
      <c r="E1159" s="35">
        <v>42569</v>
      </c>
      <c r="F1159" s="144" t="s">
        <v>859</v>
      </c>
      <c r="G1159" s="191"/>
      <c r="H1159" s="198"/>
      <c r="I1159" s="186"/>
      <c r="J1159" s="186"/>
      <c r="K1159" s="185"/>
      <c r="L1159" s="186"/>
      <c r="M1159" s="36">
        <v>5027000</v>
      </c>
      <c r="N1159" s="37"/>
      <c r="O1159" s="37" t="s">
        <v>34</v>
      </c>
      <c r="P1159" s="47" t="str">
        <f>IF(AND('331-CT'!$F$5=TH!H1159,OR(N1159="331",O1159="331")),"x","")</f>
        <v/>
      </c>
      <c r="Q1159" s="47" t="str">
        <f>IF(AND(B1159='111'!$L$11,OR($N1159=$Q$7,$O1159=$Q$7)),"x","")</f>
        <v/>
      </c>
      <c r="R1159" s="47" t="str">
        <f>IF(AND($N1159=$Q$7,$B1159&lt;'111'!$L$11),"x","")</f>
        <v/>
      </c>
      <c r="S1159" s="47" t="str">
        <f>IF(AND($O1159=$Q$7,$B1159&lt;'111'!$L$11),"x","")</f>
        <v>x</v>
      </c>
    </row>
    <row r="1160" spans="1:19" ht="15.75" customHeight="1">
      <c r="A1160" s="152" t="str">
        <f>IF(B1160&lt;&gt;"",IF(AND(B1160='IN-TC'!$S$4,OR(TH!N1160="1111",TH!O1160="1111")),TH!D1160,""),"")</f>
        <v/>
      </c>
      <c r="B1160" s="34">
        <f t="shared" si="39"/>
        <v>7</v>
      </c>
      <c r="C1160" s="35">
        <f t="shared" si="40"/>
        <v>42569</v>
      </c>
      <c r="D1160" s="212" t="s">
        <v>958</v>
      </c>
      <c r="E1160" s="35">
        <v>42569</v>
      </c>
      <c r="F1160" s="144" t="s">
        <v>1028</v>
      </c>
      <c r="G1160" s="191" t="s">
        <v>110</v>
      </c>
      <c r="H1160" s="198"/>
      <c r="I1160" s="186"/>
      <c r="J1160" s="186"/>
      <c r="K1160" s="185"/>
      <c r="L1160" s="186"/>
      <c r="M1160" s="36">
        <v>5000000</v>
      </c>
      <c r="N1160" s="37"/>
      <c r="O1160" s="37" t="s">
        <v>34</v>
      </c>
      <c r="P1160" s="47" t="str">
        <f>IF(AND('331-CT'!$F$5=TH!H1160,OR(N1160="331",O1160="331")),"x","")</f>
        <v/>
      </c>
      <c r="Q1160" s="47" t="str">
        <f>IF(AND(B1160='111'!$L$11,OR($N1160=$Q$7,$O1160=$Q$7)),"x","")</f>
        <v/>
      </c>
      <c r="R1160" s="47" t="str">
        <f>IF(AND($N1160=$Q$7,$B1160&lt;'111'!$L$11),"x","")</f>
        <v/>
      </c>
      <c r="S1160" s="47" t="str">
        <f>IF(AND($O1160=$Q$7,$B1160&lt;'111'!$L$11),"x","")</f>
        <v>x</v>
      </c>
    </row>
    <row r="1161" spans="1:19" ht="15.75" customHeight="1">
      <c r="A1161" s="152" t="str">
        <f>IF(B1161&lt;&gt;"",IF(AND(B1161='IN-TC'!$S$4,OR(TH!N1161="1111",TH!O1161="1111")),TH!D1161,""),"")</f>
        <v/>
      </c>
      <c r="B1161" s="34">
        <f t="shared" si="39"/>
        <v>7</v>
      </c>
      <c r="C1161" s="35">
        <f t="shared" si="40"/>
        <v>42569</v>
      </c>
      <c r="D1161" s="212" t="s">
        <v>1029</v>
      </c>
      <c r="E1161" s="35">
        <v>42569</v>
      </c>
      <c r="F1161" s="144" t="s">
        <v>1034</v>
      </c>
      <c r="G1161" s="191" t="s">
        <v>110</v>
      </c>
      <c r="H1161" s="198"/>
      <c r="I1161" s="186"/>
      <c r="J1161" s="186"/>
      <c r="K1161" s="185"/>
      <c r="L1161" s="186"/>
      <c r="M1161" s="36">
        <v>4000000</v>
      </c>
      <c r="N1161" s="37" t="s">
        <v>34</v>
      </c>
      <c r="O1161" s="37"/>
      <c r="P1161" s="47" t="str">
        <f>IF(AND('331-CT'!$F$5=TH!H1161,OR(N1161="331",O1161="331")),"x","")</f>
        <v/>
      </c>
      <c r="Q1161" s="47" t="str">
        <f>IF(AND(B1161='111'!$L$11,OR($N1161=$Q$7,$O1161=$Q$7)),"x","")</f>
        <v/>
      </c>
      <c r="R1161" s="47" t="str">
        <f>IF(AND($N1161=$Q$7,$B1161&lt;'111'!$L$11),"x","")</f>
        <v>x</v>
      </c>
      <c r="S1161" s="47" t="str">
        <f>IF(AND($O1161=$Q$7,$B1161&lt;'111'!$L$11),"x","")</f>
        <v/>
      </c>
    </row>
    <row r="1162" spans="1:19" ht="15.75" customHeight="1">
      <c r="A1162" s="152" t="str">
        <f>IF(B1162&lt;&gt;"",IF(AND(B1162='IN-TC'!$S$4,OR(TH!N1162="1111",TH!O1162="1111")),TH!D1162,""),"")</f>
        <v/>
      </c>
      <c r="B1162" s="34">
        <f t="shared" si="39"/>
        <v>7</v>
      </c>
      <c r="C1162" s="35">
        <f t="shared" si="40"/>
        <v>42569</v>
      </c>
      <c r="D1162" s="212" t="s">
        <v>959</v>
      </c>
      <c r="E1162" s="35">
        <v>42569</v>
      </c>
      <c r="F1162" s="144" t="s">
        <v>1033</v>
      </c>
      <c r="G1162" s="191"/>
      <c r="H1162" s="198"/>
      <c r="I1162" s="186"/>
      <c r="J1162" s="186"/>
      <c r="K1162" s="185"/>
      <c r="L1162" s="186"/>
      <c r="M1162" s="36">
        <v>2276000</v>
      </c>
      <c r="N1162" s="37"/>
      <c r="O1162" s="37" t="s">
        <v>34</v>
      </c>
      <c r="P1162" s="47" t="str">
        <f>IF(AND('331-CT'!$F$5=TH!H1162,OR(N1162="331",O1162="331")),"x","")</f>
        <v/>
      </c>
      <c r="Q1162" s="47" t="str">
        <f>IF(AND(B1162='111'!$L$11,OR($N1162=$Q$7,$O1162=$Q$7)),"x","")</f>
        <v/>
      </c>
      <c r="R1162" s="47" t="str">
        <f>IF(AND($N1162=$Q$7,$B1162&lt;'111'!$L$11),"x","")</f>
        <v/>
      </c>
      <c r="S1162" s="47" t="str">
        <f>IF(AND($O1162=$Q$7,$B1162&lt;'111'!$L$11),"x","")</f>
        <v>x</v>
      </c>
    </row>
    <row r="1163" spans="1:19" ht="15.75" customHeight="1">
      <c r="A1163" s="152" t="str">
        <f>IF(B1163&lt;&gt;"",IF(AND(B1163='IN-TC'!$S$4,OR(TH!N1163="1111",TH!O1163="1111")),TH!D1163,""),"")</f>
        <v/>
      </c>
      <c r="B1163" s="34">
        <f t="shared" si="39"/>
        <v>7</v>
      </c>
      <c r="C1163" s="35">
        <f t="shared" si="40"/>
        <v>42569</v>
      </c>
      <c r="D1163" s="212" t="s">
        <v>960</v>
      </c>
      <c r="E1163" s="35">
        <v>42569</v>
      </c>
      <c r="F1163" s="144" t="s">
        <v>1035</v>
      </c>
      <c r="G1163" s="191" t="s">
        <v>207</v>
      </c>
      <c r="H1163" s="198"/>
      <c r="I1163" s="186"/>
      <c r="J1163" s="186"/>
      <c r="K1163" s="185"/>
      <c r="L1163" s="186"/>
      <c r="M1163" s="36">
        <v>1044000</v>
      </c>
      <c r="N1163" s="37"/>
      <c r="O1163" s="37" t="s">
        <v>34</v>
      </c>
      <c r="P1163" s="47" t="str">
        <f>IF(AND('331-CT'!$F$5=TH!H1163,OR(N1163="331",O1163="331")),"x","")</f>
        <v/>
      </c>
      <c r="Q1163" s="47" t="str">
        <f>IF(AND(B1163='111'!$L$11,OR($N1163=$Q$7,$O1163=$Q$7)),"x","")</f>
        <v/>
      </c>
      <c r="R1163" s="47" t="str">
        <f>IF(AND($N1163=$Q$7,$B1163&lt;'111'!$L$11),"x","")</f>
        <v/>
      </c>
      <c r="S1163" s="47" t="str">
        <f>IF(AND($O1163=$Q$7,$B1163&lt;'111'!$L$11),"x","")</f>
        <v>x</v>
      </c>
    </row>
    <row r="1164" spans="1:19" ht="15.75" customHeight="1">
      <c r="A1164" s="152" t="str">
        <f>IF(B1164&lt;&gt;"",IF(AND(B1164='IN-TC'!$S$4,OR(TH!N1164="1111",TH!O1164="1111")),TH!D1164,""),"")</f>
        <v/>
      </c>
      <c r="B1164" s="34">
        <f t="shared" si="39"/>
        <v>7</v>
      </c>
      <c r="C1164" s="35">
        <f t="shared" si="40"/>
        <v>42569</v>
      </c>
      <c r="D1164" s="212" t="s">
        <v>961</v>
      </c>
      <c r="E1164" s="35">
        <v>42569</v>
      </c>
      <c r="F1164" s="144" t="s">
        <v>279</v>
      </c>
      <c r="G1164" s="191"/>
      <c r="H1164" s="198"/>
      <c r="I1164" s="186"/>
      <c r="J1164" s="186"/>
      <c r="K1164" s="185"/>
      <c r="L1164" s="186"/>
      <c r="M1164" s="36">
        <v>260000</v>
      </c>
      <c r="N1164" s="37"/>
      <c r="O1164" s="37" t="s">
        <v>34</v>
      </c>
      <c r="P1164" s="47" t="str">
        <f>IF(AND('331-CT'!$F$5=TH!H1164,OR(N1164="331",O1164="331")),"x","")</f>
        <v/>
      </c>
      <c r="Q1164" s="47" t="str">
        <f>IF(AND(B1164='111'!$L$11,OR($N1164=$Q$7,$O1164=$Q$7)),"x","")</f>
        <v/>
      </c>
      <c r="R1164" s="47" t="str">
        <f>IF(AND($N1164=$Q$7,$B1164&lt;'111'!$L$11),"x","")</f>
        <v/>
      </c>
      <c r="S1164" s="47" t="str">
        <f>IF(AND($O1164=$Q$7,$B1164&lt;'111'!$L$11),"x","")</f>
        <v>x</v>
      </c>
    </row>
    <row r="1165" spans="1:19" ht="15.75" customHeight="1">
      <c r="A1165" s="152" t="str">
        <f>IF(B1165&lt;&gt;"",IF(AND(B1165='IN-TC'!$S$4,OR(TH!N1165="1111",TH!O1165="1111")),TH!D1165,""),"")</f>
        <v/>
      </c>
      <c r="B1165" s="34">
        <f t="shared" ref="B1165:B1228" si="41">IF(C1165&lt;&gt;"",MONTH(C1165),"")</f>
        <v>7</v>
      </c>
      <c r="C1165" s="35">
        <f t="shared" ref="C1165:C1228" si="42">E1165</f>
        <v>42569</v>
      </c>
      <c r="D1165" s="212" t="s">
        <v>962</v>
      </c>
      <c r="E1165" s="35">
        <v>42569</v>
      </c>
      <c r="F1165" s="144" t="s">
        <v>1036</v>
      </c>
      <c r="G1165" s="191"/>
      <c r="H1165" s="198"/>
      <c r="I1165" s="186"/>
      <c r="J1165" s="186"/>
      <c r="K1165" s="185"/>
      <c r="L1165" s="186"/>
      <c r="M1165" s="36">
        <v>5880000</v>
      </c>
      <c r="N1165" s="37"/>
      <c r="O1165" s="37" t="s">
        <v>34</v>
      </c>
      <c r="P1165" s="47" t="str">
        <f>IF(AND('331-CT'!$F$5=TH!H1165,OR(N1165="331",O1165="331")),"x","")</f>
        <v/>
      </c>
      <c r="Q1165" s="47" t="str">
        <f>IF(AND(B1165='111'!$L$11,OR($N1165=$Q$7,$O1165=$Q$7)),"x","")</f>
        <v/>
      </c>
      <c r="R1165" s="47" t="str">
        <f>IF(AND($N1165=$Q$7,$B1165&lt;'111'!$L$11),"x","")</f>
        <v/>
      </c>
      <c r="S1165" s="47" t="str">
        <f>IF(AND($O1165=$Q$7,$B1165&lt;'111'!$L$11),"x","")</f>
        <v>x</v>
      </c>
    </row>
    <row r="1166" spans="1:19" ht="15.75" customHeight="1">
      <c r="A1166" s="152" t="str">
        <f>IF(B1166&lt;&gt;"",IF(AND(B1166='IN-TC'!$S$4,OR(TH!N1166="1111",TH!O1166="1111")),TH!D1166,""),"")</f>
        <v/>
      </c>
      <c r="B1166" s="34">
        <f t="shared" si="41"/>
        <v>7</v>
      </c>
      <c r="C1166" s="35">
        <f t="shared" si="42"/>
        <v>42569</v>
      </c>
      <c r="D1166" s="212" t="s">
        <v>963</v>
      </c>
      <c r="E1166" s="35">
        <v>42569</v>
      </c>
      <c r="F1166" s="144" t="s">
        <v>1037</v>
      </c>
      <c r="G1166" s="191"/>
      <c r="H1166" s="198"/>
      <c r="I1166" s="186"/>
      <c r="J1166" s="186"/>
      <c r="K1166" s="185"/>
      <c r="L1166" s="186"/>
      <c r="M1166" s="36">
        <v>80000</v>
      </c>
      <c r="N1166" s="37"/>
      <c r="O1166" s="37" t="s">
        <v>34</v>
      </c>
      <c r="P1166" s="47" t="str">
        <f>IF(AND('331-CT'!$F$5=TH!H1166,OR(N1166="331",O1166="331")),"x","")</f>
        <v/>
      </c>
      <c r="Q1166" s="47" t="str">
        <f>IF(AND(B1166='111'!$L$11,OR($N1166=$Q$7,$O1166=$Q$7)),"x","")</f>
        <v/>
      </c>
      <c r="R1166" s="47" t="str">
        <f>IF(AND($N1166=$Q$7,$B1166&lt;'111'!$L$11),"x","")</f>
        <v/>
      </c>
      <c r="S1166" s="47" t="str">
        <f>IF(AND($O1166=$Q$7,$B1166&lt;'111'!$L$11),"x","")</f>
        <v>x</v>
      </c>
    </row>
    <row r="1167" spans="1:19" ht="15.75" customHeight="1">
      <c r="A1167" s="152" t="str">
        <f>IF(B1167&lt;&gt;"",IF(AND(B1167='IN-TC'!$S$4,OR(TH!N1167="1111",TH!O1167="1111")),TH!D1167,""),"")</f>
        <v/>
      </c>
      <c r="B1167" s="34">
        <f t="shared" si="41"/>
        <v>7</v>
      </c>
      <c r="C1167" s="35">
        <f t="shared" si="42"/>
        <v>42569</v>
      </c>
      <c r="D1167" s="212" t="s">
        <v>964</v>
      </c>
      <c r="E1167" s="35">
        <v>42569</v>
      </c>
      <c r="F1167" s="144" t="s">
        <v>1038</v>
      </c>
      <c r="G1167" s="191"/>
      <c r="H1167" s="198"/>
      <c r="I1167" s="186"/>
      <c r="J1167" s="186"/>
      <c r="K1167" s="185"/>
      <c r="L1167" s="186"/>
      <c r="M1167" s="36">
        <v>260000</v>
      </c>
      <c r="N1167" s="37"/>
      <c r="O1167" s="37" t="s">
        <v>34</v>
      </c>
      <c r="P1167" s="47" t="str">
        <f>IF(AND('331-CT'!$F$5=TH!H1167,OR(N1167="331",O1167="331")),"x","")</f>
        <v/>
      </c>
      <c r="Q1167" s="47" t="str">
        <f>IF(AND(B1167='111'!$L$11,OR($N1167=$Q$7,$O1167=$Q$7)),"x","")</f>
        <v/>
      </c>
      <c r="R1167" s="47" t="str">
        <f>IF(AND($N1167=$Q$7,$B1167&lt;'111'!$L$11),"x","")</f>
        <v/>
      </c>
      <c r="S1167" s="47" t="str">
        <f>IF(AND($O1167=$Q$7,$B1167&lt;'111'!$L$11),"x","")</f>
        <v>x</v>
      </c>
    </row>
    <row r="1168" spans="1:19" ht="15.75" customHeight="1">
      <c r="A1168" s="152" t="str">
        <f>IF(B1168&lt;&gt;"",IF(AND(B1168='IN-TC'!$S$4,OR(TH!N1168="1111",TH!O1168="1111")),TH!D1168,""),"")</f>
        <v/>
      </c>
      <c r="B1168" s="34">
        <f t="shared" si="41"/>
        <v>7</v>
      </c>
      <c r="C1168" s="35">
        <f t="shared" si="42"/>
        <v>42569</v>
      </c>
      <c r="D1168" s="212" t="s">
        <v>965</v>
      </c>
      <c r="E1168" s="35">
        <v>42569</v>
      </c>
      <c r="F1168" s="144" t="s">
        <v>279</v>
      </c>
      <c r="G1168" s="191"/>
      <c r="H1168" s="198"/>
      <c r="I1168" s="186"/>
      <c r="J1168" s="186"/>
      <c r="K1168" s="185"/>
      <c r="L1168" s="186"/>
      <c r="M1168" s="36">
        <v>195000</v>
      </c>
      <c r="N1168" s="37"/>
      <c r="O1168" s="37" t="s">
        <v>34</v>
      </c>
      <c r="P1168" s="47" t="str">
        <f>IF(AND('331-CT'!$F$5=TH!H1168,OR(N1168="331",O1168="331")),"x","")</f>
        <v/>
      </c>
      <c r="Q1168" s="47" t="str">
        <f>IF(AND(B1168='111'!$L$11,OR($N1168=$Q$7,$O1168=$Q$7)),"x","")</f>
        <v/>
      </c>
      <c r="R1168" s="47" t="str">
        <f>IF(AND($N1168=$Q$7,$B1168&lt;'111'!$L$11),"x","")</f>
        <v/>
      </c>
      <c r="S1168" s="47" t="str">
        <f>IF(AND($O1168=$Q$7,$B1168&lt;'111'!$L$11),"x","")</f>
        <v>x</v>
      </c>
    </row>
    <row r="1169" spans="1:19" ht="15.75" customHeight="1">
      <c r="A1169" s="152" t="str">
        <f>IF(B1169&lt;&gt;"",IF(AND(B1169='IN-TC'!$S$4,OR(TH!N1169="1111",TH!O1169="1111")),TH!D1169,""),"")</f>
        <v/>
      </c>
      <c r="B1169" s="34">
        <f t="shared" si="41"/>
        <v>7</v>
      </c>
      <c r="C1169" s="35">
        <f t="shared" si="42"/>
        <v>42570</v>
      </c>
      <c r="D1169" s="212"/>
      <c r="E1169" s="35">
        <v>42570</v>
      </c>
      <c r="F1169" s="144" t="s">
        <v>1497</v>
      </c>
      <c r="G1169" s="191" t="s">
        <v>204</v>
      </c>
      <c r="H1169" s="198" t="s">
        <v>828</v>
      </c>
      <c r="I1169" s="186">
        <v>1660</v>
      </c>
      <c r="J1169" s="186">
        <v>12500</v>
      </c>
      <c r="K1169" s="185"/>
      <c r="L1169" s="186"/>
      <c r="M1169" s="36">
        <f>ROUND(I1169*J1169,-3)</f>
        <v>20750000</v>
      </c>
      <c r="N1169" s="37" t="s">
        <v>1443</v>
      </c>
      <c r="O1169" s="37" t="s">
        <v>8</v>
      </c>
      <c r="P1169" s="47" t="str">
        <f>IF(AND('331-CT'!$F$5=TH!H1169,OR(N1169="331",O1169="331")),"x","")</f>
        <v/>
      </c>
      <c r="Q1169" s="47" t="str">
        <f>IF(AND(B1169='111'!$L$11,OR($N1169=$Q$7,$O1169=$Q$7)),"x","")</f>
        <v/>
      </c>
      <c r="R1169" s="47" t="str">
        <f>IF(AND($N1169=$Q$7,$B1169&lt;'111'!$L$11),"x","")</f>
        <v/>
      </c>
      <c r="S1169" s="47" t="str">
        <f>IF(AND($O1169=$Q$7,$B1169&lt;'111'!$L$11),"x","")</f>
        <v/>
      </c>
    </row>
    <row r="1170" spans="1:19" ht="15.75" customHeight="1">
      <c r="A1170" s="152" t="str">
        <f>IF(B1170&lt;&gt;"",IF(AND(B1170='IN-TC'!$S$4,OR(TH!N1170="1111",TH!O1170="1111")),TH!D1170,""),"")</f>
        <v/>
      </c>
      <c r="B1170" s="34">
        <f t="shared" si="41"/>
        <v>7</v>
      </c>
      <c r="C1170" s="35">
        <f t="shared" si="42"/>
        <v>42570</v>
      </c>
      <c r="D1170" s="212"/>
      <c r="E1170" s="35">
        <v>42570</v>
      </c>
      <c r="F1170" s="144" t="s">
        <v>1469</v>
      </c>
      <c r="G1170" s="191" t="s">
        <v>204</v>
      </c>
      <c r="H1170" s="198" t="s">
        <v>828</v>
      </c>
      <c r="I1170" s="186">
        <v>5</v>
      </c>
      <c r="J1170" s="186">
        <v>30000</v>
      </c>
      <c r="K1170" s="185"/>
      <c r="L1170" s="186"/>
      <c r="M1170" s="36">
        <f>ROUND(I1170*J1170,-3)</f>
        <v>150000</v>
      </c>
      <c r="N1170" s="37" t="s">
        <v>1443</v>
      </c>
      <c r="O1170" s="37" t="s">
        <v>8</v>
      </c>
      <c r="P1170" s="47" t="str">
        <f>IF(AND('331-CT'!$F$5=TH!H1170,OR(N1170="331",O1170="331")),"x","")</f>
        <v/>
      </c>
      <c r="Q1170" s="47" t="str">
        <f>IF(AND(B1170='111'!$L$11,OR($N1170=$Q$7,$O1170=$Q$7)),"x","")</f>
        <v/>
      </c>
      <c r="R1170" s="47" t="str">
        <f>IF(AND($N1170=$Q$7,$B1170&lt;'111'!$L$11),"x","")</f>
        <v/>
      </c>
      <c r="S1170" s="47" t="str">
        <f>IF(AND($O1170=$Q$7,$B1170&lt;'111'!$L$11),"x","")</f>
        <v/>
      </c>
    </row>
    <row r="1171" spans="1:19" ht="15.75" customHeight="1">
      <c r="A1171" s="152" t="str">
        <f>IF(B1171&lt;&gt;"",IF(AND(B1171='IN-TC'!$S$4,OR(TH!N1171="1111",TH!O1171="1111")),TH!D1171,""),"")</f>
        <v/>
      </c>
      <c r="B1171" s="34">
        <f t="shared" si="41"/>
        <v>7</v>
      </c>
      <c r="C1171" s="35">
        <f t="shared" si="42"/>
        <v>42571</v>
      </c>
      <c r="D1171" s="212" t="s">
        <v>966</v>
      </c>
      <c r="E1171" s="35">
        <v>42571</v>
      </c>
      <c r="F1171" s="144" t="s">
        <v>1039</v>
      </c>
      <c r="G1171" s="191" t="s">
        <v>207</v>
      </c>
      <c r="H1171" s="198"/>
      <c r="I1171" s="186"/>
      <c r="J1171" s="186"/>
      <c r="K1171" s="185"/>
      <c r="L1171" s="186"/>
      <c r="M1171" s="36">
        <v>290000</v>
      </c>
      <c r="N1171" s="37"/>
      <c r="O1171" s="37" t="s">
        <v>34</v>
      </c>
      <c r="P1171" s="47" t="str">
        <f>IF(AND('331-CT'!$F$5=TH!H1171,OR(N1171="331",O1171="331")),"x","")</f>
        <v/>
      </c>
      <c r="Q1171" s="47" t="str">
        <f>IF(AND(B1171='111'!$L$11,OR($N1171=$Q$7,$O1171=$Q$7)),"x","")</f>
        <v/>
      </c>
      <c r="R1171" s="47" t="str">
        <f>IF(AND($N1171=$Q$7,$B1171&lt;'111'!$L$11),"x","")</f>
        <v/>
      </c>
      <c r="S1171" s="47" t="str">
        <f>IF(AND($O1171=$Q$7,$B1171&lt;'111'!$L$11),"x","")</f>
        <v>x</v>
      </c>
    </row>
    <row r="1172" spans="1:19" ht="15.75" customHeight="1">
      <c r="A1172" s="152" t="str">
        <f>IF(B1172&lt;&gt;"",IF(AND(B1172='IN-TC'!$S$4,OR(TH!N1172="1111",TH!O1172="1111")),TH!D1172,""),"")</f>
        <v/>
      </c>
      <c r="B1172" s="34">
        <f t="shared" si="41"/>
        <v>7</v>
      </c>
      <c r="C1172" s="35">
        <f t="shared" si="42"/>
        <v>42571</v>
      </c>
      <c r="D1172" s="212" t="s">
        <v>967</v>
      </c>
      <c r="E1172" s="35">
        <v>42571</v>
      </c>
      <c r="F1172" s="144" t="s">
        <v>546</v>
      </c>
      <c r="G1172" s="191" t="s">
        <v>204</v>
      </c>
      <c r="H1172" s="198"/>
      <c r="I1172" s="186"/>
      <c r="J1172" s="186"/>
      <c r="K1172" s="185"/>
      <c r="L1172" s="186"/>
      <c r="M1172" s="36">
        <v>4200000</v>
      </c>
      <c r="N1172" s="37"/>
      <c r="O1172" s="37" t="s">
        <v>34</v>
      </c>
      <c r="P1172" s="47" t="str">
        <f>IF(AND('331-CT'!$F$5=TH!H1172,OR(N1172="331",O1172="331")),"x","")</f>
        <v/>
      </c>
      <c r="Q1172" s="47" t="str">
        <f>IF(AND(B1172='111'!$L$11,OR($N1172=$Q$7,$O1172=$Q$7)),"x","")</f>
        <v/>
      </c>
      <c r="R1172" s="47" t="str">
        <f>IF(AND($N1172=$Q$7,$B1172&lt;'111'!$L$11),"x","")</f>
        <v/>
      </c>
      <c r="S1172" s="47" t="str">
        <f>IF(AND($O1172=$Q$7,$B1172&lt;'111'!$L$11),"x","")</f>
        <v>x</v>
      </c>
    </row>
    <row r="1173" spans="1:19" ht="15.75" customHeight="1">
      <c r="A1173" s="152" t="str">
        <f>IF(B1173&lt;&gt;"",IF(AND(B1173='IN-TC'!$S$4,OR(TH!N1173="1111",TH!O1173="1111")),TH!D1173,""),"")</f>
        <v/>
      </c>
      <c r="B1173" s="34">
        <f t="shared" si="41"/>
        <v>7</v>
      </c>
      <c r="C1173" s="35">
        <f t="shared" si="42"/>
        <v>42571</v>
      </c>
      <c r="D1173" s="212"/>
      <c r="E1173" s="35">
        <v>42571</v>
      </c>
      <c r="F1173" s="144" t="s">
        <v>1464</v>
      </c>
      <c r="G1173" s="191"/>
      <c r="H1173" s="198" t="s">
        <v>821</v>
      </c>
      <c r="I1173" s="186">
        <v>524</v>
      </c>
      <c r="J1173" s="186">
        <v>21000</v>
      </c>
      <c r="K1173" s="185"/>
      <c r="L1173" s="186"/>
      <c r="M1173" s="36">
        <f>ROUND(I1173*J1173,0)</f>
        <v>11004000</v>
      </c>
      <c r="N1173" s="37" t="s">
        <v>1443</v>
      </c>
      <c r="O1173" s="37" t="s">
        <v>8</v>
      </c>
      <c r="P1173" s="47" t="str">
        <f>IF(AND('331-CT'!$F$5=TH!H1173,OR(N1173="331",O1173="331")),"x","")</f>
        <v/>
      </c>
      <c r="Q1173" s="47" t="str">
        <f>IF(AND(B1173='111'!$L$11,OR($N1173=$Q$7,$O1173=$Q$7)),"x","")</f>
        <v/>
      </c>
      <c r="R1173" s="47" t="str">
        <f>IF(AND($N1173=$Q$7,$B1173&lt;'111'!$L$11),"x","")</f>
        <v/>
      </c>
      <c r="S1173" s="47" t="str">
        <f>IF(AND($O1173=$Q$7,$B1173&lt;'111'!$L$11),"x","")</f>
        <v/>
      </c>
    </row>
    <row r="1174" spans="1:19" ht="15.75" customHeight="1">
      <c r="A1174" s="152" t="str">
        <f>IF(B1174&lt;&gt;"",IF(AND(B1174='IN-TC'!$S$4,OR(TH!N1174="1111",TH!O1174="1111")),TH!D1174,""),"")</f>
        <v/>
      </c>
      <c r="B1174" s="34">
        <f t="shared" si="41"/>
        <v>7</v>
      </c>
      <c r="C1174" s="35">
        <f t="shared" si="42"/>
        <v>42571</v>
      </c>
      <c r="D1174" s="212"/>
      <c r="E1174" s="35">
        <v>42571</v>
      </c>
      <c r="F1174" s="144" t="s">
        <v>1517</v>
      </c>
      <c r="G1174" s="191"/>
      <c r="H1174" s="198" t="s">
        <v>848</v>
      </c>
      <c r="I1174" s="186">
        <v>633.6</v>
      </c>
      <c r="J1174" s="186">
        <v>55000</v>
      </c>
      <c r="K1174" s="185"/>
      <c r="L1174" s="186"/>
      <c r="M1174" s="36">
        <f>ROUND(I1174*J1174,-3)</f>
        <v>34848000</v>
      </c>
      <c r="N1174" s="37" t="s">
        <v>1443</v>
      </c>
      <c r="O1174" s="37" t="s">
        <v>8</v>
      </c>
      <c r="P1174" s="47" t="str">
        <f>IF(AND('331-CT'!$F$5=TH!H1174,OR(N1174="331",O1174="331")),"x","")</f>
        <v/>
      </c>
      <c r="Q1174" s="47" t="str">
        <f>IF(AND(B1174='111'!$L$11,OR($N1174=$Q$7,$O1174=$Q$7)),"x","")</f>
        <v/>
      </c>
      <c r="R1174" s="47" t="str">
        <f>IF(AND($N1174=$Q$7,$B1174&lt;'111'!$L$11),"x","")</f>
        <v/>
      </c>
      <c r="S1174" s="47" t="str">
        <f>IF(AND($O1174=$Q$7,$B1174&lt;'111'!$L$11),"x","")</f>
        <v/>
      </c>
    </row>
    <row r="1175" spans="1:19" ht="15.75" customHeight="1">
      <c r="A1175" s="152" t="str">
        <f>IF(B1175&lt;&gt;"",IF(AND(B1175='IN-TC'!$S$4,OR(TH!N1175="1111",TH!O1175="1111")),TH!D1175,""),"")</f>
        <v/>
      </c>
      <c r="B1175" s="34">
        <f t="shared" si="41"/>
        <v>7</v>
      </c>
      <c r="C1175" s="35">
        <f t="shared" si="42"/>
        <v>42571</v>
      </c>
      <c r="D1175" s="212"/>
      <c r="E1175" s="35">
        <v>42571</v>
      </c>
      <c r="F1175" s="144" t="s">
        <v>1518</v>
      </c>
      <c r="G1175" s="191" t="s">
        <v>1044</v>
      </c>
      <c r="H1175" s="198" t="s">
        <v>848</v>
      </c>
      <c r="I1175" s="186"/>
      <c r="J1175" s="186"/>
      <c r="K1175" s="185"/>
      <c r="L1175" s="186"/>
      <c r="M1175" s="36">
        <v>24030000</v>
      </c>
      <c r="N1175" s="37" t="s">
        <v>8</v>
      </c>
      <c r="O1175" s="37" t="s">
        <v>1443</v>
      </c>
      <c r="P1175" s="47" t="str">
        <f>IF(AND('331-CT'!$F$5=TH!H1175,OR(N1175="331",O1175="331")),"x","")</f>
        <v/>
      </c>
      <c r="Q1175" s="47" t="str">
        <f>IF(AND(B1175='111'!$L$11,OR($N1175=$Q$7,$O1175=$Q$7)),"x","")</f>
        <v/>
      </c>
      <c r="R1175" s="47" t="str">
        <f>IF(AND($N1175=$Q$7,$B1175&lt;'111'!$L$11),"x","")</f>
        <v/>
      </c>
      <c r="S1175" s="47" t="str">
        <f>IF(AND($O1175=$Q$7,$B1175&lt;'111'!$L$11),"x","")</f>
        <v/>
      </c>
    </row>
    <row r="1176" spans="1:19" ht="15.75" customHeight="1">
      <c r="A1176" s="152" t="str">
        <f>IF(B1176&lt;&gt;"",IF(AND(B1176='IN-TC'!$S$4,OR(TH!N1176="1111",TH!O1176="1111")),TH!D1176,""),"")</f>
        <v/>
      </c>
      <c r="B1176" s="34">
        <f t="shared" si="41"/>
        <v>7</v>
      </c>
      <c r="C1176" s="35">
        <f t="shared" si="42"/>
        <v>42572</v>
      </c>
      <c r="D1176" s="212"/>
      <c r="E1176" s="35">
        <v>42572</v>
      </c>
      <c r="F1176" s="144" t="s">
        <v>1464</v>
      </c>
      <c r="G1176" s="191"/>
      <c r="H1176" s="198" t="s">
        <v>821</v>
      </c>
      <c r="I1176" s="186">
        <v>236</v>
      </c>
      <c r="J1176" s="186">
        <v>21000</v>
      </c>
      <c r="K1176" s="185"/>
      <c r="L1176" s="186"/>
      <c r="M1176" s="36">
        <f>ROUND(I1176*J1176,0)</f>
        <v>4956000</v>
      </c>
      <c r="N1176" s="37" t="s">
        <v>1443</v>
      </c>
      <c r="O1176" s="37" t="s">
        <v>8</v>
      </c>
      <c r="P1176" s="47" t="str">
        <f>IF(AND('331-CT'!$F$5=TH!H1176,OR(N1176="331",O1176="331")),"x","")</f>
        <v/>
      </c>
      <c r="Q1176" s="47" t="str">
        <f>IF(AND(B1176='111'!$L$11,OR($N1176=$Q$7,$O1176=$Q$7)),"x","")</f>
        <v/>
      </c>
      <c r="R1176" s="47" t="str">
        <f>IF(AND($N1176=$Q$7,$B1176&lt;'111'!$L$11),"x","")</f>
        <v/>
      </c>
      <c r="S1176" s="47" t="str">
        <f>IF(AND($O1176=$Q$7,$B1176&lt;'111'!$L$11),"x","")</f>
        <v/>
      </c>
    </row>
    <row r="1177" spans="1:19" ht="15.75" customHeight="1">
      <c r="A1177" s="152" t="str">
        <f>IF(B1177&lt;&gt;"",IF(AND(B1177='IN-TC'!$S$4,OR(TH!N1177="1111",TH!O1177="1111")),TH!D1177,""),"")</f>
        <v/>
      </c>
      <c r="B1177" s="34">
        <f t="shared" si="41"/>
        <v>7</v>
      </c>
      <c r="C1177" s="35">
        <f t="shared" si="42"/>
        <v>42572</v>
      </c>
      <c r="D1177" s="212"/>
      <c r="E1177" s="35">
        <v>42572</v>
      </c>
      <c r="F1177" s="144" t="s">
        <v>1466</v>
      </c>
      <c r="G1177" s="191" t="s">
        <v>204</v>
      </c>
      <c r="H1177" s="198" t="s">
        <v>832</v>
      </c>
      <c r="I1177" s="186">
        <v>926</v>
      </c>
      <c r="J1177" s="186">
        <v>15000</v>
      </c>
      <c r="K1177" s="185"/>
      <c r="L1177" s="186"/>
      <c r="M1177" s="36">
        <f>ROUND(I1177*J1177,0)</f>
        <v>13890000</v>
      </c>
      <c r="N1177" s="37" t="s">
        <v>1443</v>
      </c>
      <c r="O1177" s="37" t="s">
        <v>8</v>
      </c>
      <c r="P1177" s="47" t="str">
        <f>IF(AND('331-CT'!$F$5=TH!H1177,OR(N1177="331",O1177="331")),"x","")</f>
        <v/>
      </c>
      <c r="Q1177" s="47" t="str">
        <f>IF(AND(B1177='111'!$L$11,OR($N1177=$Q$7,$O1177=$Q$7)),"x","")</f>
        <v/>
      </c>
      <c r="R1177" s="47" t="str">
        <f>IF(AND($N1177=$Q$7,$B1177&lt;'111'!$L$11),"x","")</f>
        <v/>
      </c>
      <c r="S1177" s="47" t="str">
        <f>IF(AND($O1177=$Q$7,$B1177&lt;'111'!$L$11),"x","")</f>
        <v/>
      </c>
    </row>
    <row r="1178" spans="1:19" ht="15.75" customHeight="1">
      <c r="A1178" s="152" t="str">
        <f>IF(B1178&lt;&gt;"",IF(AND(B1178='IN-TC'!$S$4,OR(TH!N1178="1111",TH!O1178="1111")),TH!D1178,""),"")</f>
        <v/>
      </c>
      <c r="B1178" s="34">
        <f t="shared" si="41"/>
        <v>7</v>
      </c>
      <c r="C1178" s="35">
        <f t="shared" si="42"/>
        <v>42572</v>
      </c>
      <c r="D1178" s="212"/>
      <c r="E1178" s="35">
        <v>42572</v>
      </c>
      <c r="F1178" s="144" t="s">
        <v>1473</v>
      </c>
      <c r="G1178" s="191" t="s">
        <v>204</v>
      </c>
      <c r="H1178" s="198" t="s">
        <v>832</v>
      </c>
      <c r="I1178" s="186">
        <v>10</v>
      </c>
      <c r="J1178" s="186">
        <v>27000</v>
      </c>
      <c r="K1178" s="185"/>
      <c r="L1178" s="186"/>
      <c r="M1178" s="36">
        <f>ROUND(I1178*J1178,0)</f>
        <v>270000</v>
      </c>
      <c r="N1178" s="37" t="s">
        <v>1443</v>
      </c>
      <c r="O1178" s="37" t="s">
        <v>8</v>
      </c>
      <c r="P1178" s="47" t="str">
        <f>IF(AND('331-CT'!$F$5=TH!H1178,OR(N1178="331",O1178="331")),"x","")</f>
        <v/>
      </c>
      <c r="Q1178" s="47" t="str">
        <f>IF(AND(B1178='111'!$L$11,OR($N1178=$Q$7,$O1178=$Q$7)),"x","")</f>
        <v/>
      </c>
      <c r="R1178" s="47" t="str">
        <f>IF(AND($N1178=$Q$7,$B1178&lt;'111'!$L$11),"x","")</f>
        <v/>
      </c>
      <c r="S1178" s="47" t="str">
        <f>IF(AND($O1178=$Q$7,$B1178&lt;'111'!$L$11),"x","")</f>
        <v/>
      </c>
    </row>
    <row r="1179" spans="1:19" ht="15.75" customHeight="1">
      <c r="A1179" s="152" t="str">
        <f>IF(B1179&lt;&gt;"",IF(AND(B1179='IN-TC'!$S$4,OR(TH!N1179="1111",TH!O1179="1111")),TH!D1179,""),"")</f>
        <v/>
      </c>
      <c r="B1179" s="34">
        <f t="shared" si="41"/>
        <v>7</v>
      </c>
      <c r="C1179" s="35">
        <f t="shared" si="42"/>
        <v>42574</v>
      </c>
      <c r="D1179" s="212" t="s">
        <v>1030</v>
      </c>
      <c r="E1179" s="35">
        <v>42574</v>
      </c>
      <c r="F1179" s="144" t="s">
        <v>1040</v>
      </c>
      <c r="G1179" s="191" t="s">
        <v>104</v>
      </c>
      <c r="H1179" s="198"/>
      <c r="I1179" s="186"/>
      <c r="J1179" s="186"/>
      <c r="K1179" s="185"/>
      <c r="L1179" s="186"/>
      <c r="M1179" s="36">
        <v>90000000</v>
      </c>
      <c r="N1179" s="37" t="s">
        <v>34</v>
      </c>
      <c r="O1179" s="37" t="s">
        <v>1404</v>
      </c>
      <c r="P1179" s="47" t="str">
        <f>IF(AND('331-CT'!$F$5=TH!H1179,OR(N1179="331",O1179="331")),"x","")</f>
        <v/>
      </c>
      <c r="Q1179" s="47" t="str">
        <f>IF(AND(B1179='111'!$L$11,OR($N1179=$Q$7,$O1179=$Q$7)),"x","")</f>
        <v/>
      </c>
      <c r="R1179" s="47" t="str">
        <f>IF(AND($N1179=$Q$7,$B1179&lt;'111'!$L$11),"x","")</f>
        <v>x</v>
      </c>
      <c r="S1179" s="47" t="str">
        <f>IF(AND($O1179=$Q$7,$B1179&lt;'111'!$L$11),"x","")</f>
        <v/>
      </c>
    </row>
    <row r="1180" spans="1:19" ht="15.75" customHeight="1">
      <c r="A1180" s="152" t="str">
        <f>IF(B1180&lt;&gt;"",IF(AND(B1180='IN-TC'!$S$4,OR(TH!N1180="1111",TH!O1180="1111")),TH!D1180,""),"")</f>
        <v/>
      </c>
      <c r="B1180" s="34">
        <f t="shared" si="41"/>
        <v>7</v>
      </c>
      <c r="C1180" s="35">
        <f t="shared" si="42"/>
        <v>42574</v>
      </c>
      <c r="D1180" s="212" t="s">
        <v>968</v>
      </c>
      <c r="E1180" s="35">
        <v>42574</v>
      </c>
      <c r="F1180" s="144" t="s">
        <v>1041</v>
      </c>
      <c r="G1180" s="191" t="s">
        <v>113</v>
      </c>
      <c r="H1180" s="198"/>
      <c r="I1180" s="186"/>
      <c r="J1180" s="186"/>
      <c r="K1180" s="185"/>
      <c r="L1180" s="186"/>
      <c r="M1180" s="36">
        <v>20000000</v>
      </c>
      <c r="N1180" s="37"/>
      <c r="O1180" s="37" t="s">
        <v>34</v>
      </c>
      <c r="P1180" s="47" t="str">
        <f>IF(AND('331-CT'!$F$5=TH!H1180,OR(N1180="331",O1180="331")),"x","")</f>
        <v/>
      </c>
      <c r="Q1180" s="47" t="str">
        <f>IF(AND(B1180='111'!$L$11,OR($N1180=$Q$7,$O1180=$Q$7)),"x","")</f>
        <v/>
      </c>
      <c r="R1180" s="47" t="str">
        <f>IF(AND($N1180=$Q$7,$B1180&lt;'111'!$L$11),"x","")</f>
        <v/>
      </c>
      <c r="S1180" s="47" t="str">
        <f>IF(AND($O1180=$Q$7,$B1180&lt;'111'!$L$11),"x","")</f>
        <v>x</v>
      </c>
    </row>
    <row r="1181" spans="1:19" ht="15.75" customHeight="1">
      <c r="A1181" s="152" t="str">
        <f>IF(B1181&lt;&gt;"",IF(AND(B1181='IN-TC'!$S$4,OR(TH!N1181="1111",TH!O1181="1111")),TH!D1181,""),"")</f>
        <v/>
      </c>
      <c r="B1181" s="34">
        <f t="shared" si="41"/>
        <v>7</v>
      </c>
      <c r="C1181" s="35">
        <f t="shared" si="42"/>
        <v>42574</v>
      </c>
      <c r="D1181" s="212" t="s">
        <v>969</v>
      </c>
      <c r="E1181" s="35">
        <v>42574</v>
      </c>
      <c r="F1181" s="144" t="s">
        <v>203</v>
      </c>
      <c r="G1181" s="191" t="s">
        <v>203</v>
      </c>
      <c r="H1181" s="198" t="s">
        <v>1409</v>
      </c>
      <c r="I1181" s="186"/>
      <c r="J1181" s="186"/>
      <c r="K1181" s="185"/>
      <c r="L1181" s="186"/>
      <c r="M1181" s="36">
        <v>10011000</v>
      </c>
      <c r="N1181" s="37" t="s">
        <v>814</v>
      </c>
      <c r="O1181" s="37" t="s">
        <v>34</v>
      </c>
      <c r="P1181" s="47" t="str">
        <f>IF(AND('331-CT'!$F$5=TH!H1181,OR(N1181="331",O1181="331")),"x","")</f>
        <v/>
      </c>
      <c r="Q1181" s="47" t="str">
        <f>IF(AND(B1181='111'!$L$11,OR($N1181=$Q$7,$O1181=$Q$7)),"x","")</f>
        <v/>
      </c>
      <c r="R1181" s="47" t="str">
        <f>IF(AND($N1181=$Q$7,$B1181&lt;'111'!$L$11),"x","")</f>
        <v/>
      </c>
      <c r="S1181" s="47" t="str">
        <f>IF(AND($O1181=$Q$7,$B1181&lt;'111'!$L$11),"x","")</f>
        <v>x</v>
      </c>
    </row>
    <row r="1182" spans="1:19" ht="15.75" customHeight="1">
      <c r="A1182" s="152" t="str">
        <f>IF(B1182&lt;&gt;"",IF(AND(B1182='IN-TC'!$S$4,OR(TH!N1182="1111",TH!O1182="1111")),TH!D1182,""),"")</f>
        <v/>
      </c>
      <c r="B1182" s="34">
        <f t="shared" si="41"/>
        <v>7</v>
      </c>
      <c r="C1182" s="35">
        <f t="shared" si="42"/>
        <v>42574</v>
      </c>
      <c r="D1182" s="212" t="s">
        <v>1031</v>
      </c>
      <c r="E1182" s="35">
        <v>42574</v>
      </c>
      <c r="F1182" s="144" t="s">
        <v>1045</v>
      </c>
      <c r="G1182" s="191" t="s">
        <v>105</v>
      </c>
      <c r="H1182" s="198" t="s">
        <v>1042</v>
      </c>
      <c r="I1182" s="186"/>
      <c r="J1182" s="186"/>
      <c r="K1182" s="185"/>
      <c r="L1182" s="186"/>
      <c r="M1182" s="36">
        <v>500000000</v>
      </c>
      <c r="N1182" s="37" t="s">
        <v>34</v>
      </c>
      <c r="O1182" s="37" t="s">
        <v>812</v>
      </c>
      <c r="P1182" s="47" t="str">
        <f>IF(AND('331-CT'!$F$5=TH!H1182,OR(N1182="331",O1182="331")),"x","")</f>
        <v/>
      </c>
      <c r="Q1182" s="47" t="str">
        <f>IF(AND(B1182='111'!$L$11,OR($N1182=$Q$7,$O1182=$Q$7)),"x","")</f>
        <v/>
      </c>
      <c r="R1182" s="47" t="str">
        <f>IF(AND($N1182=$Q$7,$B1182&lt;'111'!$L$11),"x","")</f>
        <v>x</v>
      </c>
      <c r="S1182" s="47" t="str">
        <f>IF(AND($O1182=$Q$7,$B1182&lt;'111'!$L$11),"x","")</f>
        <v/>
      </c>
    </row>
    <row r="1183" spans="1:19" ht="15.75" customHeight="1">
      <c r="A1183" s="152" t="str">
        <f>IF(B1183&lt;&gt;"",IF(AND(B1183='IN-TC'!$S$4,OR(TH!N1183="1111",TH!O1183="1111")),TH!D1183,""),"")</f>
        <v/>
      </c>
      <c r="B1183" s="34">
        <f t="shared" si="41"/>
        <v>7</v>
      </c>
      <c r="C1183" s="35">
        <f t="shared" si="42"/>
        <v>42574</v>
      </c>
      <c r="D1183" s="212" t="s">
        <v>970</v>
      </c>
      <c r="E1183" s="35">
        <v>42574</v>
      </c>
      <c r="F1183" s="144" t="s">
        <v>203</v>
      </c>
      <c r="G1183" s="191" t="s">
        <v>203</v>
      </c>
      <c r="H1183" s="198" t="s">
        <v>1042</v>
      </c>
      <c r="I1183" s="186"/>
      <c r="J1183" s="186"/>
      <c r="K1183" s="185"/>
      <c r="L1183" s="186"/>
      <c r="M1183" s="36">
        <v>25000000</v>
      </c>
      <c r="N1183" s="37" t="s">
        <v>814</v>
      </c>
      <c r="O1183" s="37" t="s">
        <v>34</v>
      </c>
      <c r="P1183" s="47" t="str">
        <f>IF(AND('331-CT'!$F$5=TH!H1183,OR(N1183="331",O1183="331")),"x","")</f>
        <v/>
      </c>
      <c r="Q1183" s="47" t="str">
        <f>IF(AND(B1183='111'!$L$11,OR($N1183=$Q$7,$O1183=$Q$7)),"x","")</f>
        <v/>
      </c>
      <c r="R1183" s="47" t="str">
        <f>IF(AND($N1183=$Q$7,$B1183&lt;'111'!$L$11),"x","")</f>
        <v/>
      </c>
      <c r="S1183" s="47" t="str">
        <f>IF(AND($O1183=$Q$7,$B1183&lt;'111'!$L$11),"x","")</f>
        <v>x</v>
      </c>
    </row>
    <row r="1184" spans="1:19" ht="15.75" customHeight="1">
      <c r="A1184" s="152" t="str">
        <f>IF(B1184&lt;&gt;"",IF(AND(B1184='IN-TC'!$S$4,OR(TH!N1184="1111",TH!O1184="1111")),TH!D1184,""),"")</f>
        <v/>
      </c>
      <c r="B1184" s="34">
        <f t="shared" si="41"/>
        <v>7</v>
      </c>
      <c r="C1184" s="35">
        <f t="shared" si="42"/>
        <v>42574</v>
      </c>
      <c r="D1184" s="212" t="s">
        <v>1032</v>
      </c>
      <c r="E1184" s="35">
        <v>42574</v>
      </c>
      <c r="F1184" s="144" t="s">
        <v>1043</v>
      </c>
      <c r="G1184" s="191" t="s">
        <v>108</v>
      </c>
      <c r="H1184" s="198"/>
      <c r="I1184" s="186"/>
      <c r="J1184" s="186"/>
      <c r="K1184" s="185"/>
      <c r="L1184" s="186"/>
      <c r="M1184" s="36">
        <v>220000000</v>
      </c>
      <c r="N1184" s="37" t="s">
        <v>34</v>
      </c>
      <c r="O1184" s="37"/>
      <c r="P1184" s="47" t="str">
        <f>IF(AND('331-CT'!$F$5=TH!H1184,OR(N1184="331",O1184="331")),"x","")</f>
        <v/>
      </c>
      <c r="Q1184" s="47" t="str">
        <f>IF(AND(B1184='111'!$L$11,OR($N1184=$Q$7,$O1184=$Q$7)),"x","")</f>
        <v/>
      </c>
      <c r="R1184" s="47" t="str">
        <f>IF(AND($N1184=$Q$7,$B1184&lt;'111'!$L$11),"x","")</f>
        <v>x</v>
      </c>
      <c r="S1184" s="47" t="str">
        <f>IF(AND($O1184=$Q$7,$B1184&lt;'111'!$L$11),"x","")</f>
        <v/>
      </c>
    </row>
    <row r="1185" spans="1:19" ht="15.75" customHeight="1">
      <c r="A1185" s="152" t="str">
        <f>IF(B1185&lt;&gt;"",IF(AND(B1185='IN-TC'!$S$4,OR(TH!N1185="1111",TH!O1185="1111")),TH!D1185,""),"")</f>
        <v/>
      </c>
      <c r="B1185" s="34">
        <f t="shared" si="41"/>
        <v>7</v>
      </c>
      <c r="C1185" s="35">
        <f t="shared" si="42"/>
        <v>42574</v>
      </c>
      <c r="D1185" s="212" t="s">
        <v>971</v>
      </c>
      <c r="E1185" s="35">
        <v>42574</v>
      </c>
      <c r="F1185" s="144" t="s">
        <v>850</v>
      </c>
      <c r="G1185" s="191" t="s">
        <v>206</v>
      </c>
      <c r="H1185" s="198" t="s">
        <v>839</v>
      </c>
      <c r="I1185" s="186"/>
      <c r="J1185" s="186"/>
      <c r="K1185" s="185"/>
      <c r="L1185" s="186"/>
      <c r="M1185" s="36">
        <v>150000000</v>
      </c>
      <c r="N1185" s="37" t="s">
        <v>8</v>
      </c>
      <c r="O1185" s="37" t="s">
        <v>34</v>
      </c>
      <c r="P1185" s="47" t="str">
        <f>IF(AND('331-CT'!$F$5=TH!H1185,OR(N1185="331",O1185="331")),"x","")</f>
        <v/>
      </c>
      <c r="Q1185" s="47" t="str">
        <f>IF(AND(B1185='111'!$L$11,OR($N1185=$Q$7,$O1185=$Q$7)),"x","")</f>
        <v/>
      </c>
      <c r="R1185" s="47" t="str">
        <f>IF(AND($N1185=$Q$7,$B1185&lt;'111'!$L$11),"x","")</f>
        <v/>
      </c>
      <c r="S1185" s="47" t="str">
        <f>IF(AND($O1185=$Q$7,$B1185&lt;'111'!$L$11),"x","")</f>
        <v>x</v>
      </c>
    </row>
    <row r="1186" spans="1:19" ht="15.75" customHeight="1">
      <c r="A1186" s="152" t="str">
        <f>IF(B1186&lt;&gt;"",IF(AND(B1186='IN-TC'!$S$4,OR(TH!N1186="1111",TH!O1186="1111")),TH!D1186,""),"")</f>
        <v/>
      </c>
      <c r="B1186" s="34">
        <f t="shared" si="41"/>
        <v>7</v>
      </c>
      <c r="C1186" s="35">
        <f t="shared" si="42"/>
        <v>42574</v>
      </c>
      <c r="D1186" s="212" t="s">
        <v>972</v>
      </c>
      <c r="E1186" s="35">
        <v>42574</v>
      </c>
      <c r="F1186" s="144" t="s">
        <v>1398</v>
      </c>
      <c r="G1186" s="191" t="s">
        <v>206</v>
      </c>
      <c r="H1186" s="198" t="s">
        <v>1044</v>
      </c>
      <c r="I1186" s="186"/>
      <c r="J1186" s="186"/>
      <c r="K1186" s="185"/>
      <c r="L1186" s="186"/>
      <c r="M1186" s="36">
        <v>150000000</v>
      </c>
      <c r="N1186" s="37" t="s">
        <v>8</v>
      </c>
      <c r="O1186" s="37" t="s">
        <v>34</v>
      </c>
      <c r="P1186" s="47" t="str">
        <f>IF(AND('331-CT'!$F$5=TH!H1186,OR(N1186="331",O1186="331")),"x","")</f>
        <v/>
      </c>
      <c r="Q1186" s="47" t="str">
        <f>IF(AND(B1186='111'!$L$11,OR($N1186=$Q$7,$O1186=$Q$7)),"x","")</f>
        <v/>
      </c>
      <c r="R1186" s="47" t="str">
        <f>IF(AND($N1186=$Q$7,$B1186&lt;'111'!$L$11),"x","")</f>
        <v/>
      </c>
      <c r="S1186" s="47" t="str">
        <f>IF(AND($O1186=$Q$7,$B1186&lt;'111'!$L$11),"x","")</f>
        <v>x</v>
      </c>
    </row>
    <row r="1187" spans="1:19" ht="15.75" customHeight="1">
      <c r="A1187" s="152" t="str">
        <f>IF(B1187&lt;&gt;"",IF(AND(B1187='IN-TC'!$S$4,OR(TH!N1187="1111",TH!O1187="1111")),TH!D1187,""),"")</f>
        <v/>
      </c>
      <c r="B1187" s="34">
        <f t="shared" si="41"/>
        <v>7</v>
      </c>
      <c r="C1187" s="35">
        <f t="shared" si="42"/>
        <v>42574</v>
      </c>
      <c r="D1187" s="212" t="s">
        <v>973</v>
      </c>
      <c r="E1187" s="35">
        <v>42574</v>
      </c>
      <c r="F1187" s="144" t="s">
        <v>850</v>
      </c>
      <c r="G1187" s="191" t="s">
        <v>206</v>
      </c>
      <c r="H1187" s="198" t="s">
        <v>836</v>
      </c>
      <c r="I1187" s="186"/>
      <c r="J1187" s="186"/>
      <c r="K1187" s="185"/>
      <c r="L1187" s="186"/>
      <c r="M1187" s="36">
        <v>97460000</v>
      </c>
      <c r="N1187" s="37" t="s">
        <v>8</v>
      </c>
      <c r="O1187" s="37" t="s">
        <v>34</v>
      </c>
      <c r="P1187" s="47" t="str">
        <f>IF(AND('331-CT'!$F$5=TH!H1187,OR(N1187="331",O1187="331")),"x","")</f>
        <v/>
      </c>
      <c r="Q1187" s="47" t="str">
        <f>IF(AND(B1187='111'!$L$11,OR($N1187=$Q$7,$O1187=$Q$7)),"x","")</f>
        <v/>
      </c>
      <c r="R1187" s="47" t="str">
        <f>IF(AND($N1187=$Q$7,$B1187&lt;'111'!$L$11),"x","")</f>
        <v/>
      </c>
      <c r="S1187" s="47" t="str">
        <f>IF(AND($O1187=$Q$7,$B1187&lt;'111'!$L$11),"x","")</f>
        <v>x</v>
      </c>
    </row>
    <row r="1188" spans="1:19" ht="15.75" customHeight="1">
      <c r="A1188" s="152" t="str">
        <f>IF(B1188&lt;&gt;"",IF(AND(B1188='IN-TC'!$S$4,OR(TH!N1188="1111",TH!O1188="1111")),TH!D1188,""),"")</f>
        <v/>
      </c>
      <c r="B1188" s="34">
        <f t="shared" si="41"/>
        <v>7</v>
      </c>
      <c r="C1188" s="35">
        <f t="shared" si="42"/>
        <v>42574</v>
      </c>
      <c r="D1188" s="212" t="s">
        <v>974</v>
      </c>
      <c r="E1188" s="35">
        <v>42574</v>
      </c>
      <c r="F1188" s="144" t="s">
        <v>850</v>
      </c>
      <c r="G1188" s="191" t="s">
        <v>206</v>
      </c>
      <c r="H1188" s="198" t="s">
        <v>816</v>
      </c>
      <c r="I1188" s="186"/>
      <c r="J1188" s="186"/>
      <c r="K1188" s="185"/>
      <c r="L1188" s="186"/>
      <c r="M1188" s="36">
        <v>57640000</v>
      </c>
      <c r="N1188" s="37" t="s">
        <v>8</v>
      </c>
      <c r="O1188" s="37" t="s">
        <v>34</v>
      </c>
      <c r="P1188" s="47" t="str">
        <f>IF(AND('331-CT'!$F$5=TH!H1188,OR(N1188="331",O1188="331")),"x","")</f>
        <v/>
      </c>
      <c r="Q1188" s="47" t="str">
        <f>IF(AND(B1188='111'!$L$11,OR($N1188=$Q$7,$O1188=$Q$7)),"x","")</f>
        <v/>
      </c>
      <c r="R1188" s="47" t="str">
        <f>IF(AND($N1188=$Q$7,$B1188&lt;'111'!$L$11),"x","")</f>
        <v/>
      </c>
      <c r="S1188" s="47" t="str">
        <f>IF(AND($O1188=$Q$7,$B1188&lt;'111'!$L$11),"x","")</f>
        <v>x</v>
      </c>
    </row>
    <row r="1189" spans="1:19" ht="15.75" customHeight="1">
      <c r="A1189" s="152" t="str">
        <f>IF(B1189&lt;&gt;"",IF(AND(B1189='IN-TC'!$S$4,OR(TH!N1189="1111",TH!O1189="1111")),TH!D1189,""),"")</f>
        <v/>
      </c>
      <c r="B1189" s="34">
        <f t="shared" si="41"/>
        <v>7</v>
      </c>
      <c r="C1189" s="35">
        <f t="shared" si="42"/>
        <v>42574</v>
      </c>
      <c r="D1189" s="212" t="s">
        <v>975</v>
      </c>
      <c r="E1189" s="35">
        <v>42574</v>
      </c>
      <c r="F1189" s="144" t="s">
        <v>850</v>
      </c>
      <c r="G1189" s="191" t="s">
        <v>206</v>
      </c>
      <c r="H1189" s="198" t="s">
        <v>828</v>
      </c>
      <c r="I1189" s="186"/>
      <c r="J1189" s="186"/>
      <c r="K1189" s="185"/>
      <c r="L1189" s="186"/>
      <c r="M1189" s="36">
        <v>60090000</v>
      </c>
      <c r="N1189" s="37" t="s">
        <v>8</v>
      </c>
      <c r="O1189" s="37" t="s">
        <v>34</v>
      </c>
      <c r="P1189" s="47" t="str">
        <f>IF(AND('331-CT'!$F$5=TH!H1189,OR(N1189="331",O1189="331")),"x","")</f>
        <v/>
      </c>
      <c r="Q1189" s="47" t="str">
        <f>IF(AND(B1189='111'!$L$11,OR($N1189=$Q$7,$O1189=$Q$7)),"x","")</f>
        <v/>
      </c>
      <c r="R1189" s="47" t="str">
        <f>IF(AND($N1189=$Q$7,$B1189&lt;'111'!$L$11),"x","")</f>
        <v/>
      </c>
      <c r="S1189" s="47" t="str">
        <f>IF(AND($O1189=$Q$7,$B1189&lt;'111'!$L$11),"x","")</f>
        <v>x</v>
      </c>
    </row>
    <row r="1190" spans="1:19" ht="15.75" customHeight="1">
      <c r="A1190" s="152" t="str">
        <f>IF(B1190&lt;&gt;"",IF(AND(B1190='IN-TC'!$S$4,OR(TH!N1190="1111",TH!O1190="1111")),TH!D1190,""),"")</f>
        <v/>
      </c>
      <c r="B1190" s="34">
        <f t="shared" si="41"/>
        <v>7</v>
      </c>
      <c r="C1190" s="35">
        <f t="shared" si="42"/>
        <v>42574</v>
      </c>
      <c r="D1190" s="212" t="s">
        <v>976</v>
      </c>
      <c r="E1190" s="35">
        <v>42574</v>
      </c>
      <c r="F1190" s="144" t="s">
        <v>850</v>
      </c>
      <c r="G1190" s="191" t="s">
        <v>206</v>
      </c>
      <c r="H1190" s="198" t="s">
        <v>817</v>
      </c>
      <c r="I1190" s="186"/>
      <c r="J1190" s="186"/>
      <c r="K1190" s="185"/>
      <c r="L1190" s="186"/>
      <c r="M1190" s="36">
        <v>57200000</v>
      </c>
      <c r="N1190" s="37" t="s">
        <v>8</v>
      </c>
      <c r="O1190" s="37" t="s">
        <v>34</v>
      </c>
      <c r="P1190" s="47" t="str">
        <f>IF(AND('331-CT'!$F$5=TH!H1190,OR(N1190="331",O1190="331")),"x","")</f>
        <v/>
      </c>
      <c r="Q1190" s="47" t="str">
        <f>IF(AND(B1190='111'!$L$11,OR($N1190=$Q$7,$O1190=$Q$7)),"x","")</f>
        <v/>
      </c>
      <c r="R1190" s="47" t="str">
        <f>IF(AND($N1190=$Q$7,$B1190&lt;'111'!$L$11),"x","")</f>
        <v/>
      </c>
      <c r="S1190" s="47" t="str">
        <f>IF(AND($O1190=$Q$7,$B1190&lt;'111'!$L$11),"x","")</f>
        <v>x</v>
      </c>
    </row>
    <row r="1191" spans="1:19" ht="15.75" customHeight="1">
      <c r="A1191" s="152" t="str">
        <f>IF(B1191&lt;&gt;"",IF(AND(B1191='IN-TC'!$S$4,OR(TH!N1191="1111",TH!O1191="1111")),TH!D1191,""),"")</f>
        <v/>
      </c>
      <c r="B1191" s="34">
        <f t="shared" si="41"/>
        <v>7</v>
      </c>
      <c r="C1191" s="35">
        <f t="shared" si="42"/>
        <v>42574</v>
      </c>
      <c r="D1191" s="212" t="s">
        <v>977</v>
      </c>
      <c r="E1191" s="35">
        <v>42574</v>
      </c>
      <c r="F1191" s="144" t="s">
        <v>1046</v>
      </c>
      <c r="G1191" s="191"/>
      <c r="H1191" s="198"/>
      <c r="I1191" s="186"/>
      <c r="J1191" s="186"/>
      <c r="K1191" s="185"/>
      <c r="L1191" s="186"/>
      <c r="M1191" s="36">
        <v>4010000</v>
      </c>
      <c r="N1191" s="37"/>
      <c r="O1191" s="37" t="s">
        <v>34</v>
      </c>
      <c r="P1191" s="47" t="str">
        <f>IF(AND('331-CT'!$F$5=TH!H1191,OR(N1191="331",O1191="331")),"x","")</f>
        <v/>
      </c>
      <c r="Q1191" s="47" t="str">
        <f>IF(AND(B1191='111'!$L$11,OR($N1191=$Q$7,$O1191=$Q$7)),"x","")</f>
        <v/>
      </c>
      <c r="R1191" s="47" t="str">
        <f>IF(AND($N1191=$Q$7,$B1191&lt;'111'!$L$11),"x","")</f>
        <v/>
      </c>
      <c r="S1191" s="47" t="str">
        <f>IF(AND($O1191=$Q$7,$B1191&lt;'111'!$L$11),"x","")</f>
        <v>x</v>
      </c>
    </row>
    <row r="1192" spans="1:19" ht="15.75" customHeight="1">
      <c r="A1192" s="152" t="str">
        <f>IF(B1192&lt;&gt;"",IF(AND(B1192='IN-TC'!$S$4,OR(TH!N1192="1111",TH!O1192="1111")),TH!D1192,""),"")</f>
        <v/>
      </c>
      <c r="B1192" s="34">
        <f t="shared" si="41"/>
        <v>7</v>
      </c>
      <c r="C1192" s="35">
        <f t="shared" si="42"/>
        <v>42574</v>
      </c>
      <c r="D1192" s="212" t="s">
        <v>978</v>
      </c>
      <c r="E1192" s="35">
        <v>42574</v>
      </c>
      <c r="F1192" s="144" t="s">
        <v>1047</v>
      </c>
      <c r="G1192" s="191"/>
      <c r="H1192" s="198"/>
      <c r="I1192" s="186"/>
      <c r="J1192" s="186"/>
      <c r="K1192" s="185"/>
      <c r="L1192" s="186"/>
      <c r="M1192" s="36">
        <v>2610000</v>
      </c>
      <c r="N1192" s="37"/>
      <c r="O1192" s="37" t="s">
        <v>34</v>
      </c>
      <c r="P1192" s="47" t="str">
        <f>IF(AND('331-CT'!$F$5=TH!H1192,OR(N1192="331",O1192="331")),"x","")</f>
        <v/>
      </c>
      <c r="Q1192" s="47" t="str">
        <f>IF(AND(B1192='111'!$L$11,OR($N1192=$Q$7,$O1192=$Q$7)),"x","")</f>
        <v/>
      </c>
      <c r="R1192" s="47" t="str">
        <f>IF(AND($N1192=$Q$7,$B1192&lt;'111'!$L$11),"x","")</f>
        <v/>
      </c>
      <c r="S1192" s="47" t="str">
        <f>IF(AND($O1192=$Q$7,$B1192&lt;'111'!$L$11),"x","")</f>
        <v>x</v>
      </c>
    </row>
    <row r="1193" spans="1:19" ht="15.75" customHeight="1">
      <c r="A1193" s="152" t="str">
        <f>IF(B1193&lt;&gt;"",IF(AND(B1193='IN-TC'!$S$4,OR(TH!N1193="1111",TH!O1193="1111")),TH!D1193,""),"")</f>
        <v/>
      </c>
      <c r="B1193" s="34">
        <f t="shared" si="41"/>
        <v>7</v>
      </c>
      <c r="C1193" s="35">
        <f t="shared" si="42"/>
        <v>42574</v>
      </c>
      <c r="D1193" s="212" t="s">
        <v>979</v>
      </c>
      <c r="E1193" s="35">
        <v>42574</v>
      </c>
      <c r="F1193" s="144" t="s">
        <v>203</v>
      </c>
      <c r="G1193" s="191" t="s">
        <v>203</v>
      </c>
      <c r="H1193" s="198" t="s">
        <v>1413</v>
      </c>
      <c r="I1193" s="186"/>
      <c r="J1193" s="186"/>
      <c r="K1193" s="185"/>
      <c r="L1193" s="186"/>
      <c r="M1193" s="36">
        <v>18000000</v>
      </c>
      <c r="N1193" s="37" t="s">
        <v>814</v>
      </c>
      <c r="O1193" s="37" t="s">
        <v>34</v>
      </c>
      <c r="P1193" s="47" t="str">
        <f>IF(AND('331-CT'!$F$5=TH!H1193,OR(N1193="331",O1193="331")),"x","")</f>
        <v/>
      </c>
      <c r="Q1193" s="47" t="str">
        <f>IF(AND(B1193='111'!$L$11,OR($N1193=$Q$7,$O1193=$Q$7)),"x","")</f>
        <v/>
      </c>
      <c r="R1193" s="47" t="str">
        <f>IF(AND($N1193=$Q$7,$B1193&lt;'111'!$L$11),"x","")</f>
        <v/>
      </c>
      <c r="S1193" s="47" t="str">
        <f>IF(AND($O1193=$Q$7,$B1193&lt;'111'!$L$11),"x","")</f>
        <v>x</v>
      </c>
    </row>
    <row r="1194" spans="1:19" ht="15.75" customHeight="1">
      <c r="A1194" s="152" t="str">
        <f>IF(B1194&lt;&gt;"",IF(AND(B1194='IN-TC'!$S$4,OR(TH!N1194="1111",TH!O1194="1111")),TH!D1194,""),"")</f>
        <v/>
      </c>
      <c r="B1194" s="34">
        <f t="shared" si="41"/>
        <v>7</v>
      </c>
      <c r="C1194" s="35">
        <f t="shared" si="42"/>
        <v>42574</v>
      </c>
      <c r="D1194" s="212"/>
      <c r="E1194" s="35">
        <v>42574</v>
      </c>
      <c r="F1194" s="144" t="s">
        <v>1493</v>
      </c>
      <c r="G1194" s="191" t="s">
        <v>204</v>
      </c>
      <c r="H1194" s="198" t="s">
        <v>828</v>
      </c>
      <c r="I1194" s="186">
        <v>104</v>
      </c>
      <c r="J1194" s="186">
        <v>30000</v>
      </c>
      <c r="K1194" s="185"/>
      <c r="L1194" s="186"/>
      <c r="M1194" s="36">
        <f>ROUND(I1194*J1194,-3)</f>
        <v>3120000</v>
      </c>
      <c r="N1194" s="37" t="s">
        <v>1443</v>
      </c>
      <c r="O1194" s="37" t="s">
        <v>8</v>
      </c>
      <c r="P1194" s="47" t="str">
        <f>IF(AND('331-CT'!$F$5=TH!H1194,OR(N1194="331",O1194="331")),"x","")</f>
        <v/>
      </c>
      <c r="Q1194" s="47" t="str">
        <f>IF(AND(B1194='111'!$L$11,OR($N1194=$Q$7,$O1194=$Q$7)),"x","")</f>
        <v/>
      </c>
      <c r="R1194" s="47" t="str">
        <f>IF(AND($N1194=$Q$7,$B1194&lt;'111'!$L$11),"x","")</f>
        <v/>
      </c>
      <c r="S1194" s="47" t="str">
        <f>IF(AND($O1194=$Q$7,$B1194&lt;'111'!$L$11),"x","")</f>
        <v/>
      </c>
    </row>
    <row r="1195" spans="1:19" ht="15.75" customHeight="1">
      <c r="A1195" s="152" t="str">
        <f>IF(B1195&lt;&gt;"",IF(AND(B1195='IN-TC'!$S$4,OR(TH!N1195="1111",TH!O1195="1111")),TH!D1195,""),"")</f>
        <v/>
      </c>
      <c r="B1195" s="34">
        <f t="shared" si="41"/>
        <v>7</v>
      </c>
      <c r="C1195" s="35">
        <f t="shared" si="42"/>
        <v>42574</v>
      </c>
      <c r="D1195" s="212"/>
      <c r="E1195" s="35">
        <v>42574</v>
      </c>
      <c r="F1195" s="144" t="s">
        <v>1494</v>
      </c>
      <c r="G1195" s="191" t="s">
        <v>204</v>
      </c>
      <c r="H1195" s="198" t="s">
        <v>828</v>
      </c>
      <c r="I1195" s="186">
        <v>106</v>
      </c>
      <c r="J1195" s="186">
        <v>15000</v>
      </c>
      <c r="K1195" s="185"/>
      <c r="L1195" s="186"/>
      <c r="M1195" s="36">
        <f>ROUND(I1195*J1195,-3)</f>
        <v>1590000</v>
      </c>
      <c r="N1195" s="37" t="s">
        <v>1443</v>
      </c>
      <c r="O1195" s="37" t="s">
        <v>8</v>
      </c>
      <c r="P1195" s="47" t="str">
        <f>IF(AND('331-CT'!$F$5=TH!H1195,OR(N1195="331",O1195="331")),"x","")</f>
        <v/>
      </c>
      <c r="Q1195" s="47" t="str">
        <f>IF(AND(B1195='111'!$L$11,OR($N1195=$Q$7,$O1195=$Q$7)),"x","")</f>
        <v/>
      </c>
      <c r="R1195" s="47" t="str">
        <f>IF(AND($N1195=$Q$7,$B1195&lt;'111'!$L$11),"x","")</f>
        <v/>
      </c>
      <c r="S1195" s="47" t="str">
        <f>IF(AND($O1195=$Q$7,$B1195&lt;'111'!$L$11),"x","")</f>
        <v/>
      </c>
    </row>
    <row r="1196" spans="1:19" ht="15.75" customHeight="1">
      <c r="A1196" s="152" t="str">
        <f>IF(B1196&lt;&gt;"",IF(AND(B1196='IN-TC'!$S$4,OR(TH!N1196="1111",TH!O1196="1111")),TH!D1196,""),"")</f>
        <v/>
      </c>
      <c r="B1196" s="34">
        <f t="shared" si="41"/>
        <v>7</v>
      </c>
      <c r="C1196" s="35">
        <f t="shared" si="42"/>
        <v>42574</v>
      </c>
      <c r="D1196" s="212"/>
      <c r="E1196" s="35">
        <v>42574</v>
      </c>
      <c r="F1196" s="144" t="s">
        <v>1495</v>
      </c>
      <c r="G1196" s="191" t="s">
        <v>204</v>
      </c>
      <c r="H1196" s="198" t="s">
        <v>828</v>
      </c>
      <c r="I1196" s="186">
        <v>224</v>
      </c>
      <c r="J1196" s="186">
        <v>15000</v>
      </c>
      <c r="K1196" s="185"/>
      <c r="L1196" s="186"/>
      <c r="M1196" s="36">
        <f>ROUND(I1196*J1196,-3)</f>
        <v>3360000</v>
      </c>
      <c r="N1196" s="37" t="s">
        <v>1443</v>
      </c>
      <c r="O1196" s="37" t="s">
        <v>8</v>
      </c>
      <c r="P1196" s="47" t="str">
        <f>IF(AND('331-CT'!$F$5=TH!H1196,OR(N1196="331",O1196="331")),"x","")</f>
        <v/>
      </c>
      <c r="Q1196" s="47" t="str">
        <f>IF(AND(B1196='111'!$L$11,OR($N1196=$Q$7,$O1196=$Q$7)),"x","")</f>
        <v/>
      </c>
      <c r="R1196" s="47" t="str">
        <f>IF(AND($N1196=$Q$7,$B1196&lt;'111'!$L$11),"x","")</f>
        <v/>
      </c>
      <c r="S1196" s="47" t="str">
        <f>IF(AND($O1196=$Q$7,$B1196&lt;'111'!$L$11),"x","")</f>
        <v/>
      </c>
    </row>
    <row r="1197" spans="1:19" ht="15.75" customHeight="1">
      <c r="A1197" s="152" t="str">
        <f>IF(B1197&lt;&gt;"",IF(AND(B1197='IN-TC'!$S$4,OR(TH!N1197="1111",TH!O1197="1111")),TH!D1197,""),"")</f>
        <v/>
      </c>
      <c r="B1197" s="34">
        <f t="shared" si="41"/>
        <v>7</v>
      </c>
      <c r="C1197" s="35">
        <f t="shared" si="42"/>
        <v>42576</v>
      </c>
      <c r="D1197" s="212" t="s">
        <v>980</v>
      </c>
      <c r="E1197" s="35">
        <v>42576</v>
      </c>
      <c r="F1197" s="144" t="s">
        <v>1049</v>
      </c>
      <c r="G1197" s="191"/>
      <c r="H1197" s="198"/>
      <c r="I1197" s="186"/>
      <c r="J1197" s="186"/>
      <c r="K1197" s="185"/>
      <c r="L1197" s="186"/>
      <c r="M1197" s="36">
        <v>420000</v>
      </c>
      <c r="N1197" s="37"/>
      <c r="O1197" s="37" t="s">
        <v>34</v>
      </c>
      <c r="P1197" s="47" t="str">
        <f>IF(AND('331-CT'!$F$5=TH!H1197,OR(N1197="331",O1197="331")),"x","")</f>
        <v/>
      </c>
      <c r="Q1197" s="47" t="str">
        <f>IF(AND(B1197='111'!$L$11,OR($N1197=$Q$7,$O1197=$Q$7)),"x","")</f>
        <v/>
      </c>
      <c r="R1197" s="47" t="str">
        <f>IF(AND($N1197=$Q$7,$B1197&lt;'111'!$L$11),"x","")</f>
        <v/>
      </c>
      <c r="S1197" s="47" t="str">
        <f>IF(AND($O1197=$Q$7,$B1197&lt;'111'!$L$11),"x","")</f>
        <v>x</v>
      </c>
    </row>
    <row r="1198" spans="1:19" ht="15.75" customHeight="1">
      <c r="A1198" s="152" t="str">
        <f>IF(B1198&lt;&gt;"",IF(AND(B1198='IN-TC'!$S$4,OR(TH!N1198="1111",TH!O1198="1111")),TH!D1198,""),"")</f>
        <v/>
      </c>
      <c r="B1198" s="34">
        <f t="shared" si="41"/>
        <v>7</v>
      </c>
      <c r="C1198" s="35">
        <f t="shared" si="42"/>
        <v>42576</v>
      </c>
      <c r="D1198" s="212" t="s">
        <v>981</v>
      </c>
      <c r="E1198" s="35">
        <v>42576</v>
      </c>
      <c r="F1198" s="144" t="s">
        <v>671</v>
      </c>
      <c r="G1198" s="191" t="s">
        <v>207</v>
      </c>
      <c r="H1198" s="198"/>
      <c r="I1198" s="186"/>
      <c r="J1198" s="186"/>
      <c r="K1198" s="185"/>
      <c r="L1198" s="186"/>
      <c r="M1198" s="36">
        <v>500000</v>
      </c>
      <c r="N1198" s="37"/>
      <c r="O1198" s="37" t="s">
        <v>34</v>
      </c>
      <c r="P1198" s="47" t="str">
        <f>IF(AND('331-CT'!$F$5=TH!H1198,OR(N1198="331",O1198="331")),"x","")</f>
        <v/>
      </c>
      <c r="Q1198" s="47" t="str">
        <f>IF(AND(B1198='111'!$L$11,OR($N1198=$Q$7,$O1198=$Q$7)),"x","")</f>
        <v/>
      </c>
      <c r="R1198" s="47" t="str">
        <f>IF(AND($N1198=$Q$7,$B1198&lt;'111'!$L$11),"x","")</f>
        <v/>
      </c>
      <c r="S1198" s="47" t="str">
        <f>IF(AND($O1198=$Q$7,$B1198&lt;'111'!$L$11),"x","")</f>
        <v>x</v>
      </c>
    </row>
    <row r="1199" spans="1:19" ht="15.75" customHeight="1">
      <c r="A1199" s="152" t="str">
        <f>IF(B1199&lt;&gt;"",IF(AND(B1199='IN-TC'!$S$4,OR(TH!N1199="1111",TH!O1199="1111")),TH!D1199,""),"")</f>
        <v/>
      </c>
      <c r="B1199" s="34">
        <f t="shared" si="41"/>
        <v>7</v>
      </c>
      <c r="C1199" s="35">
        <f t="shared" si="42"/>
        <v>42576</v>
      </c>
      <c r="D1199" s="212" t="s">
        <v>982</v>
      </c>
      <c r="E1199" s="35">
        <v>42576</v>
      </c>
      <c r="F1199" s="144" t="s">
        <v>1050</v>
      </c>
      <c r="G1199" s="191" t="s">
        <v>204</v>
      </c>
      <c r="H1199" s="198"/>
      <c r="I1199" s="186"/>
      <c r="J1199" s="186"/>
      <c r="K1199" s="185"/>
      <c r="L1199" s="186"/>
      <c r="M1199" s="36">
        <v>20017000</v>
      </c>
      <c r="N1199" s="37"/>
      <c r="O1199" s="37" t="s">
        <v>34</v>
      </c>
      <c r="P1199" s="47" t="str">
        <f>IF(AND('331-CT'!$F$5=TH!H1199,OR(N1199="331",O1199="331")),"x","")</f>
        <v/>
      </c>
      <c r="Q1199" s="47" t="str">
        <f>IF(AND(B1199='111'!$L$11,OR($N1199=$Q$7,$O1199=$Q$7)),"x","")</f>
        <v/>
      </c>
      <c r="R1199" s="47" t="str">
        <f>IF(AND($N1199=$Q$7,$B1199&lt;'111'!$L$11),"x","")</f>
        <v/>
      </c>
      <c r="S1199" s="47" t="str">
        <f>IF(AND($O1199=$Q$7,$B1199&lt;'111'!$L$11),"x","")</f>
        <v>x</v>
      </c>
    </row>
    <row r="1200" spans="1:19" ht="15.75" customHeight="1">
      <c r="A1200" s="152" t="str">
        <f>IF(B1200&lt;&gt;"",IF(AND(B1200='IN-TC'!$S$4,OR(TH!N1200="1111",TH!O1200="1111")),TH!D1200,""),"")</f>
        <v/>
      </c>
      <c r="B1200" s="34">
        <f t="shared" si="41"/>
        <v>7</v>
      </c>
      <c r="C1200" s="35">
        <f t="shared" si="42"/>
        <v>42576</v>
      </c>
      <c r="D1200" s="212" t="s">
        <v>983</v>
      </c>
      <c r="E1200" s="35">
        <v>42576</v>
      </c>
      <c r="F1200" s="144" t="s">
        <v>1021</v>
      </c>
      <c r="G1200" s="191"/>
      <c r="H1200" s="198"/>
      <c r="I1200" s="186"/>
      <c r="J1200" s="186"/>
      <c r="K1200" s="185"/>
      <c r="L1200" s="186"/>
      <c r="M1200" s="36">
        <v>500000</v>
      </c>
      <c r="N1200" s="37"/>
      <c r="O1200" s="37" t="s">
        <v>34</v>
      </c>
      <c r="P1200" s="47" t="str">
        <f>IF(AND('331-CT'!$F$5=TH!H1200,OR(N1200="331",O1200="331")),"x","")</f>
        <v/>
      </c>
      <c r="Q1200" s="47" t="str">
        <f>IF(AND(B1200='111'!$L$11,OR($N1200=$Q$7,$O1200=$Q$7)),"x","")</f>
        <v/>
      </c>
      <c r="R1200" s="47" t="str">
        <f>IF(AND($N1200=$Q$7,$B1200&lt;'111'!$L$11),"x","")</f>
        <v/>
      </c>
      <c r="S1200" s="47" t="str">
        <f>IF(AND($O1200=$Q$7,$B1200&lt;'111'!$L$11),"x","")</f>
        <v>x</v>
      </c>
    </row>
    <row r="1201" spans="1:19" ht="15.75" customHeight="1">
      <c r="A1201" s="152" t="str">
        <f>IF(B1201&lt;&gt;"",IF(AND(B1201='IN-TC'!$S$4,OR(TH!N1201="1111",TH!O1201="1111")),TH!D1201,""),"")</f>
        <v/>
      </c>
      <c r="B1201" s="34">
        <f t="shared" si="41"/>
        <v>7</v>
      </c>
      <c r="C1201" s="35">
        <f t="shared" si="42"/>
        <v>42576</v>
      </c>
      <c r="D1201" s="212" t="s">
        <v>984</v>
      </c>
      <c r="E1201" s="35">
        <v>42576</v>
      </c>
      <c r="F1201" s="144" t="s">
        <v>1051</v>
      </c>
      <c r="G1201" s="191" t="s">
        <v>204</v>
      </c>
      <c r="H1201" s="198"/>
      <c r="I1201" s="186"/>
      <c r="J1201" s="186"/>
      <c r="K1201" s="185"/>
      <c r="L1201" s="186"/>
      <c r="M1201" s="36">
        <v>6100000</v>
      </c>
      <c r="N1201" s="37"/>
      <c r="O1201" s="37" t="s">
        <v>34</v>
      </c>
      <c r="P1201" s="47" t="str">
        <f>IF(AND('331-CT'!$F$5=TH!H1201,OR(N1201="331",O1201="331")),"x","")</f>
        <v/>
      </c>
      <c r="Q1201" s="47" t="str">
        <f>IF(AND(B1201='111'!$L$11,OR($N1201=$Q$7,$O1201=$Q$7)),"x","")</f>
        <v/>
      </c>
      <c r="R1201" s="47" t="str">
        <f>IF(AND($N1201=$Q$7,$B1201&lt;'111'!$L$11),"x","")</f>
        <v/>
      </c>
      <c r="S1201" s="47" t="str">
        <f>IF(AND($O1201=$Q$7,$B1201&lt;'111'!$L$11),"x","")</f>
        <v>x</v>
      </c>
    </row>
    <row r="1202" spans="1:19" ht="15.75" customHeight="1">
      <c r="A1202" s="152" t="str">
        <f>IF(B1202&lt;&gt;"",IF(AND(B1202='IN-TC'!$S$4,OR(TH!N1202="1111",TH!O1202="1111")),TH!D1202,""),"")</f>
        <v/>
      </c>
      <c r="B1202" s="34">
        <f t="shared" si="41"/>
        <v>7</v>
      </c>
      <c r="C1202" s="35">
        <f t="shared" si="42"/>
        <v>42576</v>
      </c>
      <c r="D1202" s="212" t="s">
        <v>985</v>
      </c>
      <c r="E1202" s="35">
        <v>42576</v>
      </c>
      <c r="F1202" s="144" t="s">
        <v>1052</v>
      </c>
      <c r="G1202" s="191"/>
      <c r="H1202" s="198"/>
      <c r="I1202" s="186"/>
      <c r="J1202" s="186"/>
      <c r="K1202" s="185"/>
      <c r="L1202" s="186"/>
      <c r="M1202" s="36">
        <v>10000000</v>
      </c>
      <c r="N1202" s="37"/>
      <c r="O1202" s="37" t="s">
        <v>34</v>
      </c>
      <c r="P1202" s="47" t="str">
        <f>IF(AND('331-CT'!$F$5=TH!H1202,OR(N1202="331",O1202="331")),"x","")</f>
        <v/>
      </c>
      <c r="Q1202" s="47" t="str">
        <f>IF(AND(B1202='111'!$L$11,OR($N1202=$Q$7,$O1202=$Q$7)),"x","")</f>
        <v/>
      </c>
      <c r="R1202" s="47" t="str">
        <f>IF(AND($N1202=$Q$7,$B1202&lt;'111'!$L$11),"x","")</f>
        <v/>
      </c>
      <c r="S1202" s="47" t="str">
        <f>IF(AND($O1202=$Q$7,$B1202&lt;'111'!$L$11),"x","")</f>
        <v>x</v>
      </c>
    </row>
    <row r="1203" spans="1:19" ht="15.75" customHeight="1">
      <c r="A1203" s="152" t="str">
        <f>IF(B1203&lt;&gt;"",IF(AND(B1203='IN-TC'!$S$4,OR(TH!N1203="1111",TH!O1203="1111")),TH!D1203,""),"")</f>
        <v/>
      </c>
      <c r="B1203" s="34">
        <f t="shared" si="41"/>
        <v>7</v>
      </c>
      <c r="C1203" s="35">
        <f t="shared" si="42"/>
        <v>42576</v>
      </c>
      <c r="D1203" s="212" t="s">
        <v>986</v>
      </c>
      <c r="E1203" s="35">
        <v>42576</v>
      </c>
      <c r="F1203" s="144" t="s">
        <v>1053</v>
      </c>
      <c r="G1203" s="191"/>
      <c r="H1203" s="198"/>
      <c r="I1203" s="186"/>
      <c r="J1203" s="186"/>
      <c r="K1203" s="185"/>
      <c r="L1203" s="186"/>
      <c r="M1203" s="36">
        <v>6000000</v>
      </c>
      <c r="N1203" s="37"/>
      <c r="O1203" s="37" t="s">
        <v>34</v>
      </c>
      <c r="P1203" s="47" t="str">
        <f>IF(AND('331-CT'!$F$5=TH!H1203,OR(N1203="331",O1203="331")),"x","")</f>
        <v/>
      </c>
      <c r="Q1203" s="47" t="str">
        <f>IF(AND(B1203='111'!$L$11,OR($N1203=$Q$7,$O1203=$Q$7)),"x","")</f>
        <v/>
      </c>
      <c r="R1203" s="47" t="str">
        <f>IF(AND($N1203=$Q$7,$B1203&lt;'111'!$L$11),"x","")</f>
        <v/>
      </c>
      <c r="S1203" s="47" t="str">
        <f>IF(AND($O1203=$Q$7,$B1203&lt;'111'!$L$11),"x","")</f>
        <v>x</v>
      </c>
    </row>
    <row r="1204" spans="1:19" ht="15.75" customHeight="1">
      <c r="A1204" s="152" t="str">
        <f>IF(B1204&lt;&gt;"",IF(AND(B1204='IN-TC'!$S$4,OR(TH!N1204="1111",TH!O1204="1111")),TH!D1204,""),"")</f>
        <v/>
      </c>
      <c r="B1204" s="34">
        <f t="shared" si="41"/>
        <v>7</v>
      </c>
      <c r="C1204" s="35">
        <f t="shared" si="42"/>
        <v>42577</v>
      </c>
      <c r="D1204" s="212" t="s">
        <v>987</v>
      </c>
      <c r="E1204" s="35">
        <v>42577</v>
      </c>
      <c r="F1204" s="144" t="s">
        <v>1054</v>
      </c>
      <c r="G1204" s="191"/>
      <c r="H1204" s="198"/>
      <c r="I1204" s="186"/>
      <c r="J1204" s="186"/>
      <c r="K1204" s="185"/>
      <c r="L1204" s="186"/>
      <c r="M1204" s="36">
        <v>388000</v>
      </c>
      <c r="N1204" s="37"/>
      <c r="O1204" s="37" t="s">
        <v>34</v>
      </c>
      <c r="P1204" s="47" t="str">
        <f>IF(AND('331-CT'!$F$5=TH!H1204,OR(N1204="331",O1204="331")),"x","")</f>
        <v/>
      </c>
      <c r="Q1204" s="47" t="str">
        <f>IF(AND(B1204='111'!$L$11,OR($N1204=$Q$7,$O1204=$Q$7)),"x","")</f>
        <v/>
      </c>
      <c r="R1204" s="47" t="str">
        <f>IF(AND($N1204=$Q$7,$B1204&lt;'111'!$L$11),"x","")</f>
        <v/>
      </c>
      <c r="S1204" s="47" t="str">
        <f>IF(AND($O1204=$Q$7,$B1204&lt;'111'!$L$11),"x","")</f>
        <v>x</v>
      </c>
    </row>
    <row r="1205" spans="1:19" ht="15.75" customHeight="1">
      <c r="A1205" s="152" t="str">
        <f>IF(B1205&lt;&gt;"",IF(AND(B1205='IN-TC'!$S$4,OR(TH!N1205="1111",TH!O1205="1111")),TH!D1205,""),"")</f>
        <v/>
      </c>
      <c r="B1205" s="34">
        <f t="shared" si="41"/>
        <v>7</v>
      </c>
      <c r="C1205" s="35">
        <f t="shared" si="42"/>
        <v>42577</v>
      </c>
      <c r="D1205" s="212" t="s">
        <v>988</v>
      </c>
      <c r="E1205" s="35">
        <v>42577</v>
      </c>
      <c r="F1205" s="144" t="s">
        <v>1055</v>
      </c>
      <c r="G1205" s="191" t="s">
        <v>213</v>
      </c>
      <c r="H1205" s="198"/>
      <c r="I1205" s="186"/>
      <c r="J1205" s="186"/>
      <c r="K1205" s="185"/>
      <c r="L1205" s="186"/>
      <c r="M1205" s="36">
        <v>300000</v>
      </c>
      <c r="N1205" s="37"/>
      <c r="O1205" s="37" t="s">
        <v>34</v>
      </c>
      <c r="P1205" s="47" t="str">
        <f>IF(AND('331-CT'!$F$5=TH!H1205,OR(N1205="331",O1205="331")),"x","")</f>
        <v/>
      </c>
      <c r="Q1205" s="47" t="str">
        <f>IF(AND(B1205='111'!$L$11,OR($N1205=$Q$7,$O1205=$Q$7)),"x","")</f>
        <v/>
      </c>
      <c r="R1205" s="47" t="str">
        <f>IF(AND($N1205=$Q$7,$B1205&lt;'111'!$L$11),"x","")</f>
        <v/>
      </c>
      <c r="S1205" s="47" t="str">
        <f>IF(AND($O1205=$Q$7,$B1205&lt;'111'!$L$11),"x","")</f>
        <v>x</v>
      </c>
    </row>
    <row r="1206" spans="1:19" ht="15.75" customHeight="1">
      <c r="A1206" s="152" t="str">
        <f>IF(B1206&lt;&gt;"",IF(AND(B1206='IN-TC'!$S$4,OR(TH!N1206="1111",TH!O1206="1111")),TH!D1206,""),"")</f>
        <v/>
      </c>
      <c r="B1206" s="34">
        <f t="shared" si="41"/>
        <v>7</v>
      </c>
      <c r="C1206" s="35">
        <f t="shared" si="42"/>
        <v>42577</v>
      </c>
      <c r="D1206" s="212" t="s">
        <v>989</v>
      </c>
      <c r="E1206" s="35">
        <v>42577</v>
      </c>
      <c r="F1206" s="144" t="s">
        <v>1056</v>
      </c>
      <c r="G1206" s="191"/>
      <c r="H1206" s="198"/>
      <c r="I1206" s="186"/>
      <c r="J1206" s="186"/>
      <c r="K1206" s="185"/>
      <c r="L1206" s="186"/>
      <c r="M1206" s="36">
        <v>2000000</v>
      </c>
      <c r="N1206" s="37"/>
      <c r="O1206" s="37" t="s">
        <v>34</v>
      </c>
      <c r="P1206" s="47" t="str">
        <f>IF(AND('331-CT'!$F$5=TH!H1206,OR(N1206="331",O1206="331")),"x","")</f>
        <v/>
      </c>
      <c r="Q1206" s="47" t="str">
        <f>IF(AND(B1206='111'!$L$11,OR($N1206=$Q$7,$O1206=$Q$7)),"x","")</f>
        <v/>
      </c>
      <c r="R1206" s="47" t="str">
        <f>IF(AND($N1206=$Q$7,$B1206&lt;'111'!$L$11),"x","")</f>
        <v/>
      </c>
      <c r="S1206" s="47" t="str">
        <f>IF(AND($O1206=$Q$7,$B1206&lt;'111'!$L$11),"x","")</f>
        <v>x</v>
      </c>
    </row>
    <row r="1207" spans="1:19" ht="15.75" customHeight="1">
      <c r="A1207" s="152" t="str">
        <f>IF(B1207&lt;&gt;"",IF(AND(B1207='IN-TC'!$S$4,OR(TH!N1207="1111",TH!O1207="1111")),TH!D1207,""),"")</f>
        <v/>
      </c>
      <c r="B1207" s="34">
        <f t="shared" si="41"/>
        <v>7</v>
      </c>
      <c r="C1207" s="35">
        <f t="shared" si="42"/>
        <v>42577</v>
      </c>
      <c r="D1207" s="212" t="s">
        <v>990</v>
      </c>
      <c r="E1207" s="35">
        <v>42577</v>
      </c>
      <c r="F1207" s="144" t="s">
        <v>671</v>
      </c>
      <c r="G1207" s="191" t="s">
        <v>207</v>
      </c>
      <c r="H1207" s="198"/>
      <c r="I1207" s="186"/>
      <c r="J1207" s="186"/>
      <c r="K1207" s="185"/>
      <c r="L1207" s="186"/>
      <c r="M1207" s="36">
        <v>500000</v>
      </c>
      <c r="N1207" s="37"/>
      <c r="O1207" s="37" t="s">
        <v>34</v>
      </c>
      <c r="P1207" s="47" t="str">
        <f>IF(AND('331-CT'!$F$5=TH!H1207,OR(N1207="331",O1207="331")),"x","")</f>
        <v/>
      </c>
      <c r="Q1207" s="47" t="str">
        <f>IF(AND(B1207='111'!$L$11,OR($N1207=$Q$7,$O1207=$Q$7)),"x","")</f>
        <v/>
      </c>
      <c r="R1207" s="47" t="str">
        <f>IF(AND($N1207=$Q$7,$B1207&lt;'111'!$L$11),"x","")</f>
        <v/>
      </c>
      <c r="S1207" s="47" t="str">
        <f>IF(AND($O1207=$Q$7,$B1207&lt;'111'!$L$11),"x","")</f>
        <v>x</v>
      </c>
    </row>
    <row r="1208" spans="1:19" ht="15.75" customHeight="1">
      <c r="A1208" s="152" t="str">
        <f>IF(B1208&lt;&gt;"",IF(AND(B1208='IN-TC'!$S$4,OR(TH!N1208="1111",TH!O1208="1111")),TH!D1208,""),"")</f>
        <v/>
      </c>
      <c r="B1208" s="34">
        <f t="shared" si="41"/>
        <v>7</v>
      </c>
      <c r="C1208" s="35">
        <f t="shared" si="42"/>
        <v>42577</v>
      </c>
      <c r="D1208" s="212" t="s">
        <v>991</v>
      </c>
      <c r="E1208" s="35">
        <v>42577</v>
      </c>
      <c r="F1208" s="144" t="s">
        <v>1057</v>
      </c>
      <c r="G1208" s="191" t="s">
        <v>207</v>
      </c>
      <c r="H1208" s="198"/>
      <c r="I1208" s="186"/>
      <c r="J1208" s="186"/>
      <c r="K1208" s="185"/>
      <c r="L1208" s="186"/>
      <c r="M1208" s="36">
        <v>3673000</v>
      </c>
      <c r="N1208" s="37"/>
      <c r="O1208" s="37" t="s">
        <v>34</v>
      </c>
      <c r="P1208" s="47" t="str">
        <f>IF(AND('331-CT'!$F$5=TH!H1208,OR(N1208="331",O1208="331")),"x","")</f>
        <v/>
      </c>
      <c r="Q1208" s="47" t="str">
        <f>IF(AND(B1208='111'!$L$11,OR($N1208=$Q$7,$O1208=$Q$7)),"x","")</f>
        <v/>
      </c>
      <c r="R1208" s="47" t="str">
        <f>IF(AND($N1208=$Q$7,$B1208&lt;'111'!$L$11),"x","")</f>
        <v/>
      </c>
      <c r="S1208" s="47" t="str">
        <f>IF(AND($O1208=$Q$7,$B1208&lt;'111'!$L$11),"x","")</f>
        <v>x</v>
      </c>
    </row>
    <row r="1209" spans="1:19" ht="15.75" customHeight="1">
      <c r="A1209" s="152" t="str">
        <f>IF(B1209&lt;&gt;"",IF(AND(B1209='IN-TC'!$S$4,OR(TH!N1209="1111",TH!O1209="1111")),TH!D1209,""),"")</f>
        <v/>
      </c>
      <c r="B1209" s="34">
        <f t="shared" si="41"/>
        <v>7</v>
      </c>
      <c r="C1209" s="35">
        <f t="shared" si="42"/>
        <v>42578</v>
      </c>
      <c r="D1209" s="212" t="s">
        <v>992</v>
      </c>
      <c r="E1209" s="35">
        <v>42578</v>
      </c>
      <c r="F1209" s="144" t="s">
        <v>1058</v>
      </c>
      <c r="G1209" s="191" t="s">
        <v>204</v>
      </c>
      <c r="H1209" s="198"/>
      <c r="I1209" s="186"/>
      <c r="J1209" s="186"/>
      <c r="K1209" s="185"/>
      <c r="L1209" s="186"/>
      <c r="M1209" s="36">
        <v>10000000</v>
      </c>
      <c r="N1209" s="37"/>
      <c r="O1209" s="37" t="s">
        <v>34</v>
      </c>
      <c r="P1209" s="47" t="str">
        <f>IF(AND('331-CT'!$F$5=TH!H1209,OR(N1209="331",O1209="331")),"x","")</f>
        <v/>
      </c>
      <c r="Q1209" s="47" t="str">
        <f>IF(AND(B1209='111'!$L$11,OR($N1209=$Q$7,$O1209=$Q$7)),"x","")</f>
        <v/>
      </c>
      <c r="R1209" s="47" t="str">
        <f>IF(AND($N1209=$Q$7,$B1209&lt;'111'!$L$11),"x","")</f>
        <v/>
      </c>
      <c r="S1209" s="47" t="str">
        <f>IF(AND($O1209=$Q$7,$B1209&lt;'111'!$L$11),"x","")</f>
        <v>x</v>
      </c>
    </row>
    <row r="1210" spans="1:19" ht="15.75" customHeight="1">
      <c r="A1210" s="152" t="str">
        <f>IF(B1210&lt;&gt;"",IF(AND(B1210='IN-TC'!$S$4,OR(TH!N1210="1111",TH!O1210="1111")),TH!D1210,""),"")</f>
        <v/>
      </c>
      <c r="B1210" s="34">
        <f t="shared" si="41"/>
        <v>7</v>
      </c>
      <c r="C1210" s="35">
        <f t="shared" si="42"/>
        <v>42578</v>
      </c>
      <c r="D1210" s="212" t="s">
        <v>993</v>
      </c>
      <c r="E1210" s="35">
        <v>42578</v>
      </c>
      <c r="F1210" s="144" t="s">
        <v>1059</v>
      </c>
      <c r="G1210" s="191"/>
      <c r="H1210" s="198"/>
      <c r="I1210" s="186"/>
      <c r="J1210" s="186"/>
      <c r="K1210" s="185"/>
      <c r="L1210" s="186"/>
      <c r="M1210" s="36">
        <v>900000</v>
      </c>
      <c r="N1210" s="37"/>
      <c r="O1210" s="37" t="s">
        <v>34</v>
      </c>
      <c r="P1210" s="47" t="str">
        <f>IF(AND('331-CT'!$F$5=TH!H1210,OR(N1210="331",O1210="331")),"x","")</f>
        <v/>
      </c>
      <c r="Q1210" s="47" t="str">
        <f>IF(AND(B1210='111'!$L$11,OR($N1210=$Q$7,$O1210=$Q$7)),"x","")</f>
        <v/>
      </c>
      <c r="R1210" s="47" t="str">
        <f>IF(AND($N1210=$Q$7,$B1210&lt;'111'!$L$11),"x","")</f>
        <v/>
      </c>
      <c r="S1210" s="47" t="str">
        <f>IF(AND($O1210=$Q$7,$B1210&lt;'111'!$L$11),"x","")</f>
        <v>x</v>
      </c>
    </row>
    <row r="1211" spans="1:19" ht="15.75" customHeight="1">
      <c r="A1211" s="152" t="str">
        <f>IF(B1211&lt;&gt;"",IF(AND(B1211='IN-TC'!$S$4,OR(TH!N1211="1111",TH!O1211="1111")),TH!D1211,""),"")</f>
        <v/>
      </c>
      <c r="B1211" s="34">
        <f t="shared" si="41"/>
        <v>7</v>
      </c>
      <c r="C1211" s="35">
        <f t="shared" si="42"/>
        <v>42578</v>
      </c>
      <c r="D1211" s="212" t="s">
        <v>994</v>
      </c>
      <c r="E1211" s="35">
        <v>42578</v>
      </c>
      <c r="F1211" s="144" t="s">
        <v>203</v>
      </c>
      <c r="G1211" s="191" t="s">
        <v>203</v>
      </c>
      <c r="H1211" s="198" t="s">
        <v>1414</v>
      </c>
      <c r="I1211" s="186"/>
      <c r="J1211" s="186"/>
      <c r="K1211" s="185"/>
      <c r="L1211" s="186"/>
      <c r="M1211" s="36">
        <v>6017000</v>
      </c>
      <c r="N1211" s="37" t="s">
        <v>814</v>
      </c>
      <c r="O1211" s="37" t="s">
        <v>34</v>
      </c>
      <c r="P1211" s="47" t="str">
        <f>IF(AND('331-CT'!$F$5=TH!H1211,OR(N1211="331",O1211="331")),"x","")</f>
        <v/>
      </c>
      <c r="Q1211" s="47" t="str">
        <f>IF(AND(B1211='111'!$L$11,OR($N1211=$Q$7,$O1211=$Q$7)),"x","")</f>
        <v/>
      </c>
      <c r="R1211" s="47" t="str">
        <f>IF(AND($N1211=$Q$7,$B1211&lt;'111'!$L$11),"x","")</f>
        <v/>
      </c>
      <c r="S1211" s="47" t="str">
        <f>IF(AND($O1211=$Q$7,$B1211&lt;'111'!$L$11),"x","")</f>
        <v>x</v>
      </c>
    </row>
    <row r="1212" spans="1:19" ht="15.75" customHeight="1">
      <c r="A1212" s="152" t="str">
        <f>IF(B1212&lt;&gt;"",IF(AND(B1212='IN-TC'!$S$4,OR(TH!N1212="1111",TH!O1212="1111")),TH!D1212,""),"")</f>
        <v/>
      </c>
      <c r="B1212" s="34">
        <f t="shared" si="41"/>
        <v>7</v>
      </c>
      <c r="C1212" s="35">
        <f t="shared" si="42"/>
        <v>42578</v>
      </c>
      <c r="D1212" s="212" t="s">
        <v>995</v>
      </c>
      <c r="E1212" s="35">
        <v>42578</v>
      </c>
      <c r="F1212" s="144" t="s">
        <v>1060</v>
      </c>
      <c r="G1212" s="191"/>
      <c r="H1212" s="198"/>
      <c r="I1212" s="186"/>
      <c r="J1212" s="186"/>
      <c r="K1212" s="185"/>
      <c r="L1212" s="186"/>
      <c r="M1212" s="36">
        <v>305000</v>
      </c>
      <c r="N1212" s="37"/>
      <c r="O1212" s="37" t="s">
        <v>34</v>
      </c>
      <c r="P1212" s="47" t="str">
        <f>IF(AND('331-CT'!$F$5=TH!H1212,OR(N1212="331",O1212="331")),"x","")</f>
        <v/>
      </c>
      <c r="Q1212" s="47" t="str">
        <f>IF(AND(B1212='111'!$L$11,OR($N1212=$Q$7,$O1212=$Q$7)),"x","")</f>
        <v/>
      </c>
      <c r="R1212" s="47" t="str">
        <f>IF(AND($N1212=$Q$7,$B1212&lt;'111'!$L$11),"x","")</f>
        <v/>
      </c>
      <c r="S1212" s="47" t="str">
        <f>IF(AND($O1212=$Q$7,$B1212&lt;'111'!$L$11),"x","")</f>
        <v>x</v>
      </c>
    </row>
    <row r="1213" spans="1:19" ht="15.75" customHeight="1">
      <c r="A1213" s="152" t="str">
        <f>IF(B1213&lt;&gt;"",IF(AND(B1213='IN-TC'!$S$4,OR(TH!N1213="1111",TH!O1213="1111")),TH!D1213,""),"")</f>
        <v/>
      </c>
      <c r="B1213" s="34">
        <f t="shared" si="41"/>
        <v>7</v>
      </c>
      <c r="C1213" s="35">
        <f t="shared" si="42"/>
        <v>42578</v>
      </c>
      <c r="D1213" s="212" t="s">
        <v>996</v>
      </c>
      <c r="E1213" s="35">
        <v>42578</v>
      </c>
      <c r="F1213" s="144" t="s">
        <v>1061</v>
      </c>
      <c r="G1213" s="191"/>
      <c r="H1213" s="198"/>
      <c r="I1213" s="186"/>
      <c r="J1213" s="186"/>
      <c r="K1213" s="185"/>
      <c r="L1213" s="186"/>
      <c r="M1213" s="36">
        <v>500000</v>
      </c>
      <c r="N1213" s="37"/>
      <c r="O1213" s="37" t="s">
        <v>34</v>
      </c>
      <c r="P1213" s="47" t="str">
        <f>IF(AND('331-CT'!$F$5=TH!H1213,OR(N1213="331",O1213="331")),"x","")</f>
        <v/>
      </c>
      <c r="Q1213" s="47" t="str">
        <f>IF(AND(B1213='111'!$L$11,OR($N1213=$Q$7,$O1213=$Q$7)),"x","")</f>
        <v/>
      </c>
      <c r="R1213" s="47" t="str">
        <f>IF(AND($N1213=$Q$7,$B1213&lt;'111'!$L$11),"x","")</f>
        <v/>
      </c>
      <c r="S1213" s="47" t="str">
        <f>IF(AND($O1213=$Q$7,$B1213&lt;'111'!$L$11),"x","")</f>
        <v>x</v>
      </c>
    </row>
    <row r="1214" spans="1:19" ht="15.75" customHeight="1">
      <c r="A1214" s="152" t="str">
        <f>IF(B1214&lt;&gt;"",IF(AND(B1214='IN-TC'!$S$4,OR(TH!N1214="1111",TH!O1214="1111")),TH!D1214,""),"")</f>
        <v/>
      </c>
      <c r="B1214" s="34">
        <f t="shared" si="41"/>
        <v>7</v>
      </c>
      <c r="C1214" s="35">
        <f t="shared" si="42"/>
        <v>42578</v>
      </c>
      <c r="D1214" s="212" t="s">
        <v>997</v>
      </c>
      <c r="E1214" s="35">
        <v>42578</v>
      </c>
      <c r="F1214" s="144" t="s">
        <v>1062</v>
      </c>
      <c r="G1214" s="191"/>
      <c r="H1214" s="198"/>
      <c r="I1214" s="186"/>
      <c r="J1214" s="186"/>
      <c r="K1214" s="185"/>
      <c r="L1214" s="186"/>
      <c r="M1214" s="36">
        <v>5500000</v>
      </c>
      <c r="N1214" s="37"/>
      <c r="O1214" s="37" t="s">
        <v>34</v>
      </c>
      <c r="P1214" s="47" t="str">
        <f>IF(AND('331-CT'!$F$5=TH!H1214,OR(N1214="331",O1214="331")),"x","")</f>
        <v/>
      </c>
      <c r="Q1214" s="47" t="str">
        <f>IF(AND(B1214='111'!$L$11,OR($N1214=$Q$7,$O1214=$Q$7)),"x","")</f>
        <v/>
      </c>
      <c r="R1214" s="47" t="str">
        <f>IF(AND($N1214=$Q$7,$B1214&lt;'111'!$L$11),"x","")</f>
        <v/>
      </c>
      <c r="S1214" s="47" t="str">
        <f>IF(AND($O1214=$Q$7,$B1214&lt;'111'!$L$11),"x","")</f>
        <v>x</v>
      </c>
    </row>
    <row r="1215" spans="1:19" ht="15.75" customHeight="1">
      <c r="A1215" s="152" t="str">
        <f>IF(B1215&lt;&gt;"",IF(AND(B1215='IN-TC'!$S$4,OR(TH!N1215="1111",TH!O1215="1111")),TH!D1215,""),"")</f>
        <v/>
      </c>
      <c r="B1215" s="34">
        <f t="shared" si="41"/>
        <v>7</v>
      </c>
      <c r="C1215" s="35">
        <f t="shared" si="42"/>
        <v>42578</v>
      </c>
      <c r="D1215" s="212" t="s">
        <v>998</v>
      </c>
      <c r="E1215" s="35">
        <v>42578</v>
      </c>
      <c r="F1215" s="144" t="s">
        <v>1063</v>
      </c>
      <c r="G1215" s="191"/>
      <c r="H1215" s="198"/>
      <c r="I1215" s="186"/>
      <c r="J1215" s="186"/>
      <c r="K1215" s="185"/>
      <c r="L1215" s="186"/>
      <c r="M1215" s="36">
        <v>2470000</v>
      </c>
      <c r="N1215" s="37"/>
      <c r="O1215" s="37" t="s">
        <v>34</v>
      </c>
      <c r="P1215" s="47" t="str">
        <f>IF(AND('331-CT'!$F$5=TH!H1215,OR(N1215="331",O1215="331")),"x","")</f>
        <v/>
      </c>
      <c r="Q1215" s="47" t="str">
        <f>IF(AND(B1215='111'!$L$11,OR($N1215=$Q$7,$O1215=$Q$7)),"x","")</f>
        <v/>
      </c>
      <c r="R1215" s="47" t="str">
        <f>IF(AND($N1215=$Q$7,$B1215&lt;'111'!$L$11),"x","")</f>
        <v/>
      </c>
      <c r="S1215" s="47" t="str">
        <f>IF(AND($O1215=$Q$7,$B1215&lt;'111'!$L$11),"x","")</f>
        <v>x</v>
      </c>
    </row>
    <row r="1216" spans="1:19" ht="15.75" customHeight="1">
      <c r="A1216" s="152" t="str">
        <f>IF(B1216&lt;&gt;"",IF(AND(B1216='IN-TC'!$S$4,OR(TH!N1216="1111",TH!O1216="1111")),TH!D1216,""),"")</f>
        <v/>
      </c>
      <c r="B1216" s="34">
        <f t="shared" si="41"/>
        <v>7</v>
      </c>
      <c r="C1216" s="35">
        <f t="shared" si="42"/>
        <v>42578</v>
      </c>
      <c r="D1216" s="212"/>
      <c r="E1216" s="35">
        <v>42578</v>
      </c>
      <c r="F1216" s="144" t="s">
        <v>1467</v>
      </c>
      <c r="G1216" s="191"/>
      <c r="H1216" s="198" t="s">
        <v>831</v>
      </c>
      <c r="I1216" s="186">
        <v>1150</v>
      </c>
      <c r="J1216" s="186">
        <v>12000</v>
      </c>
      <c r="K1216" s="185"/>
      <c r="L1216" s="186"/>
      <c r="M1216" s="36">
        <f>ROUND(I1216*J1216,0)</f>
        <v>13800000</v>
      </c>
      <c r="N1216" s="37" t="s">
        <v>1443</v>
      </c>
      <c r="O1216" s="37" t="s">
        <v>8</v>
      </c>
      <c r="P1216" s="47" t="str">
        <f>IF(AND('331-CT'!$F$5=TH!H1216,OR(N1216="331",O1216="331")),"x","")</f>
        <v/>
      </c>
      <c r="Q1216" s="47" t="str">
        <f>IF(AND(B1216='111'!$L$11,OR($N1216=$Q$7,$O1216=$Q$7)),"x","")</f>
        <v/>
      </c>
      <c r="R1216" s="47" t="str">
        <f>IF(AND($N1216=$Q$7,$B1216&lt;'111'!$L$11),"x","")</f>
        <v/>
      </c>
      <c r="S1216" s="47" t="str">
        <f>IF(AND($O1216=$Q$7,$B1216&lt;'111'!$L$11),"x","")</f>
        <v/>
      </c>
    </row>
    <row r="1217" spans="1:19" ht="15.75" customHeight="1">
      <c r="A1217" s="152" t="str">
        <f>IF(B1217&lt;&gt;"",IF(AND(B1217='IN-TC'!$S$4,OR(TH!N1217="1111",TH!O1217="1111")),TH!D1217,""),"")</f>
        <v/>
      </c>
      <c r="B1217" s="34">
        <f t="shared" si="41"/>
        <v>7</v>
      </c>
      <c r="C1217" s="35">
        <f t="shared" si="42"/>
        <v>42578</v>
      </c>
      <c r="D1217" s="212"/>
      <c r="E1217" s="35">
        <v>42578</v>
      </c>
      <c r="F1217" s="144" t="s">
        <v>1451</v>
      </c>
      <c r="G1217" s="191"/>
      <c r="H1217" s="198" t="s">
        <v>1397</v>
      </c>
      <c r="I1217" s="186">
        <v>12740</v>
      </c>
      <c r="J1217" s="186">
        <v>14000</v>
      </c>
      <c r="K1217" s="185"/>
      <c r="L1217" s="186"/>
      <c r="M1217" s="36">
        <f>ROUND(I1217*J1217,0)</f>
        <v>178360000</v>
      </c>
      <c r="N1217" s="37" t="s">
        <v>1443</v>
      </c>
      <c r="O1217" s="37" t="s">
        <v>8</v>
      </c>
      <c r="P1217" s="47" t="str">
        <f>IF(AND('331-CT'!$F$5=TH!H1217,OR(N1217="331",O1217="331")),"x","")</f>
        <v/>
      </c>
      <c r="Q1217" s="47" t="str">
        <f>IF(AND(B1217='111'!$L$11,OR($N1217=$Q$7,$O1217=$Q$7)),"x","")</f>
        <v/>
      </c>
      <c r="R1217" s="47" t="str">
        <f>IF(AND($N1217=$Q$7,$B1217&lt;'111'!$L$11),"x","")</f>
        <v/>
      </c>
      <c r="S1217" s="47" t="str">
        <f>IF(AND($O1217=$Q$7,$B1217&lt;'111'!$L$11),"x","")</f>
        <v/>
      </c>
    </row>
    <row r="1218" spans="1:19" ht="15.75" customHeight="1">
      <c r="A1218" s="152" t="str">
        <f>IF(B1218&lt;&gt;"",IF(AND(B1218='IN-TC'!$S$4,OR(TH!N1218="1111",TH!O1218="1111")),TH!D1218,""),"")</f>
        <v/>
      </c>
      <c r="B1218" s="34">
        <f t="shared" si="41"/>
        <v>7</v>
      </c>
      <c r="C1218" s="35">
        <f t="shared" si="42"/>
        <v>42579</v>
      </c>
      <c r="D1218" s="212"/>
      <c r="E1218" s="35">
        <v>42579</v>
      </c>
      <c r="F1218" s="144" t="s">
        <v>1464</v>
      </c>
      <c r="G1218" s="191"/>
      <c r="H1218" s="198" t="s">
        <v>821</v>
      </c>
      <c r="I1218" s="186">
        <v>1487</v>
      </c>
      <c r="J1218" s="186">
        <v>21000</v>
      </c>
      <c r="K1218" s="185"/>
      <c r="L1218" s="186"/>
      <c r="M1218" s="36">
        <f>ROUND(I1218*J1218,0)</f>
        <v>31227000</v>
      </c>
      <c r="N1218" s="37" t="s">
        <v>1443</v>
      </c>
      <c r="O1218" s="37" t="s">
        <v>8</v>
      </c>
      <c r="P1218" s="47" t="str">
        <f>IF(AND('331-CT'!$F$5=TH!H1218,OR(N1218="331",O1218="331")),"x","")</f>
        <v/>
      </c>
      <c r="Q1218" s="47" t="str">
        <f>IF(AND(B1218='111'!$L$11,OR($N1218=$Q$7,$O1218=$Q$7)),"x","")</f>
        <v/>
      </c>
      <c r="R1218" s="47" t="str">
        <f>IF(AND($N1218=$Q$7,$B1218&lt;'111'!$L$11),"x","")</f>
        <v/>
      </c>
      <c r="S1218" s="47" t="str">
        <f>IF(AND($O1218=$Q$7,$B1218&lt;'111'!$L$11),"x","")</f>
        <v/>
      </c>
    </row>
    <row r="1219" spans="1:19" ht="15.75" customHeight="1">
      <c r="A1219" s="152" t="str">
        <f>IF(B1219&lt;&gt;"",IF(AND(B1219='IN-TC'!$S$4,OR(TH!N1219="1111",TH!O1219="1111")),TH!D1219,""),"")</f>
        <v/>
      </c>
      <c r="B1219" s="34">
        <f t="shared" si="41"/>
        <v>7</v>
      </c>
      <c r="C1219" s="35">
        <f t="shared" si="42"/>
        <v>42580</v>
      </c>
      <c r="D1219" s="212" t="s">
        <v>999</v>
      </c>
      <c r="E1219" s="35">
        <v>42580</v>
      </c>
      <c r="F1219" s="144" t="s">
        <v>598</v>
      </c>
      <c r="G1219" s="191" t="s">
        <v>204</v>
      </c>
      <c r="H1219" s="198"/>
      <c r="I1219" s="186"/>
      <c r="J1219" s="186"/>
      <c r="K1219" s="185"/>
      <c r="L1219" s="186"/>
      <c r="M1219" s="36">
        <v>53000000</v>
      </c>
      <c r="N1219" s="37"/>
      <c r="O1219" s="37" t="s">
        <v>34</v>
      </c>
      <c r="P1219" s="47" t="str">
        <f>IF(AND('331-CT'!$F$5=TH!H1219,OR(N1219="331",O1219="331")),"x","")</f>
        <v/>
      </c>
      <c r="Q1219" s="47" t="str">
        <f>IF(AND(B1219='111'!$L$11,OR($N1219=$Q$7,$O1219=$Q$7)),"x","")</f>
        <v/>
      </c>
      <c r="R1219" s="47" t="str">
        <f>IF(AND($N1219=$Q$7,$B1219&lt;'111'!$L$11),"x","")</f>
        <v/>
      </c>
      <c r="S1219" s="47" t="str">
        <f>IF(AND($O1219=$Q$7,$B1219&lt;'111'!$L$11),"x","")</f>
        <v>x</v>
      </c>
    </row>
    <row r="1220" spans="1:19" ht="15.75" customHeight="1">
      <c r="A1220" s="152" t="str">
        <f>IF(B1220&lt;&gt;"",IF(AND(B1220='IN-TC'!$S$4,OR(TH!N1220="1111",TH!O1220="1111")),TH!D1220,""),"")</f>
        <v/>
      </c>
      <c r="B1220" s="34">
        <f t="shared" si="41"/>
        <v>7</v>
      </c>
      <c r="C1220" s="35">
        <f t="shared" si="42"/>
        <v>42580</v>
      </c>
      <c r="D1220" s="212" t="s">
        <v>1064</v>
      </c>
      <c r="E1220" s="35">
        <v>42580</v>
      </c>
      <c r="F1220" s="144" t="s">
        <v>159</v>
      </c>
      <c r="G1220" s="191" t="s">
        <v>115</v>
      </c>
      <c r="H1220" s="198" t="s">
        <v>1048</v>
      </c>
      <c r="I1220" s="186"/>
      <c r="J1220" s="186"/>
      <c r="K1220" s="185"/>
      <c r="L1220" s="186"/>
      <c r="M1220" s="36">
        <v>34720000</v>
      </c>
      <c r="N1220" s="37" t="s">
        <v>34</v>
      </c>
      <c r="O1220" s="37"/>
      <c r="P1220" s="47" t="str">
        <f>IF(AND('331-CT'!$F$5=TH!H1220,OR(N1220="331",O1220="331")),"x","")</f>
        <v/>
      </c>
      <c r="Q1220" s="47" t="str">
        <f>IF(AND(B1220='111'!$L$11,OR($N1220=$Q$7,$O1220=$Q$7)),"x","")</f>
        <v/>
      </c>
      <c r="R1220" s="47" t="str">
        <f>IF(AND($N1220=$Q$7,$B1220&lt;'111'!$L$11),"x","")</f>
        <v>x</v>
      </c>
      <c r="S1220" s="47" t="str">
        <f>IF(AND($O1220=$Q$7,$B1220&lt;'111'!$L$11),"x","")</f>
        <v/>
      </c>
    </row>
    <row r="1221" spans="1:19" ht="15.75" customHeight="1">
      <c r="A1221" s="152" t="str">
        <f>IF(B1221&lt;&gt;"",IF(AND(B1221='IN-TC'!$S$4,OR(TH!N1221="1111",TH!O1221="1111")),TH!D1221,""),"")</f>
        <v/>
      </c>
      <c r="B1221" s="34">
        <f t="shared" si="41"/>
        <v>7</v>
      </c>
      <c r="C1221" s="35">
        <f t="shared" si="42"/>
        <v>42580</v>
      </c>
      <c r="D1221" s="212" t="s">
        <v>1000</v>
      </c>
      <c r="E1221" s="35">
        <v>42580</v>
      </c>
      <c r="F1221" s="144" t="s">
        <v>691</v>
      </c>
      <c r="G1221" s="191"/>
      <c r="H1221" s="198"/>
      <c r="I1221" s="186"/>
      <c r="J1221" s="186"/>
      <c r="K1221" s="185"/>
      <c r="L1221" s="186"/>
      <c r="M1221" s="36">
        <v>590000</v>
      </c>
      <c r="N1221" s="37"/>
      <c r="O1221" s="37" t="s">
        <v>34</v>
      </c>
      <c r="P1221" s="47" t="str">
        <f>IF(AND('331-CT'!$F$5=TH!H1221,OR(N1221="331",O1221="331")),"x","")</f>
        <v/>
      </c>
      <c r="Q1221" s="47" t="str">
        <f>IF(AND(B1221='111'!$L$11,OR($N1221=$Q$7,$O1221=$Q$7)),"x","")</f>
        <v/>
      </c>
      <c r="R1221" s="47" t="str">
        <f>IF(AND($N1221=$Q$7,$B1221&lt;'111'!$L$11),"x","")</f>
        <v/>
      </c>
      <c r="S1221" s="47" t="str">
        <f>IF(AND($O1221=$Q$7,$B1221&lt;'111'!$L$11),"x","")</f>
        <v>x</v>
      </c>
    </row>
    <row r="1222" spans="1:19" ht="15.75" customHeight="1">
      <c r="A1222" s="152" t="str">
        <f>IF(B1222&lt;&gt;"",IF(AND(B1222='IN-TC'!$S$4,OR(TH!N1222="1111",TH!O1222="1111")),TH!D1222,""),"")</f>
        <v/>
      </c>
      <c r="B1222" s="34">
        <f t="shared" si="41"/>
        <v>7</v>
      </c>
      <c r="C1222" s="35">
        <f t="shared" si="42"/>
        <v>42580</v>
      </c>
      <c r="D1222" s="212"/>
      <c r="E1222" s="35">
        <v>42580</v>
      </c>
      <c r="F1222" s="144" t="s">
        <v>1469</v>
      </c>
      <c r="G1222" s="191" t="s">
        <v>204</v>
      </c>
      <c r="H1222" s="198" t="s">
        <v>828</v>
      </c>
      <c r="I1222" s="186">
        <v>1588</v>
      </c>
      <c r="J1222" s="186">
        <v>25000</v>
      </c>
      <c r="K1222" s="185"/>
      <c r="L1222" s="186"/>
      <c r="M1222" s="36">
        <f>ROUND(I1222*J1222,-3)</f>
        <v>39700000</v>
      </c>
      <c r="N1222" s="37" t="s">
        <v>1443</v>
      </c>
      <c r="O1222" s="37" t="s">
        <v>8</v>
      </c>
      <c r="P1222" s="47" t="str">
        <f>IF(AND('331-CT'!$F$5=TH!H1222,OR(N1222="331",O1222="331")),"x","")</f>
        <v/>
      </c>
      <c r="Q1222" s="47" t="str">
        <f>IF(AND(B1222='111'!$L$11,OR($N1222=$Q$7,$O1222=$Q$7)),"x","")</f>
        <v/>
      </c>
      <c r="R1222" s="47" t="str">
        <f>IF(AND($N1222=$Q$7,$B1222&lt;'111'!$L$11),"x","")</f>
        <v/>
      </c>
      <c r="S1222" s="47" t="str">
        <f>IF(AND($O1222=$Q$7,$B1222&lt;'111'!$L$11),"x","")</f>
        <v/>
      </c>
    </row>
    <row r="1223" spans="1:19" ht="15.75" customHeight="1">
      <c r="A1223" s="152" t="str">
        <f>IF(B1223&lt;&gt;"",IF(AND(B1223='IN-TC'!$S$4,OR(TH!N1223="1111",TH!O1223="1111")),TH!D1223,""),"")</f>
        <v/>
      </c>
      <c r="B1223" s="34">
        <f t="shared" si="41"/>
        <v>7</v>
      </c>
      <c r="C1223" s="35">
        <f t="shared" si="42"/>
        <v>42580</v>
      </c>
      <c r="D1223" s="212"/>
      <c r="E1223" s="35">
        <v>42580</v>
      </c>
      <c r="F1223" s="144" t="s">
        <v>1495</v>
      </c>
      <c r="G1223" s="191" t="s">
        <v>204</v>
      </c>
      <c r="H1223" s="198" t="s">
        <v>828</v>
      </c>
      <c r="I1223" s="186">
        <v>121</v>
      </c>
      <c r="J1223" s="186">
        <v>15000</v>
      </c>
      <c r="K1223" s="185"/>
      <c r="L1223" s="186"/>
      <c r="M1223" s="36">
        <f>ROUND(I1223*J1223,-3)</f>
        <v>1815000</v>
      </c>
      <c r="N1223" s="37" t="s">
        <v>1443</v>
      </c>
      <c r="O1223" s="37" t="s">
        <v>8</v>
      </c>
      <c r="P1223" s="47" t="str">
        <f>IF(AND('331-CT'!$F$5=TH!H1223,OR(N1223="331",O1223="331")),"x","")</f>
        <v/>
      </c>
      <c r="Q1223" s="47" t="str">
        <f>IF(AND(B1223='111'!$L$11,OR($N1223=$Q$7,$O1223=$Q$7)),"x","")</f>
        <v/>
      </c>
      <c r="R1223" s="47" t="str">
        <f>IF(AND($N1223=$Q$7,$B1223&lt;'111'!$L$11),"x","")</f>
        <v/>
      </c>
      <c r="S1223" s="47" t="str">
        <f>IF(AND($O1223=$Q$7,$B1223&lt;'111'!$L$11),"x","")</f>
        <v/>
      </c>
    </row>
    <row r="1224" spans="1:19" ht="15.75" customHeight="1">
      <c r="A1224" s="152" t="str">
        <f>IF(B1224&lt;&gt;"",IF(AND(B1224='IN-TC'!$S$4,OR(TH!N1224="1111",TH!O1224="1111")),TH!D1224,""),"")</f>
        <v/>
      </c>
      <c r="B1224" s="34">
        <f t="shared" si="41"/>
        <v>7</v>
      </c>
      <c r="C1224" s="35">
        <f t="shared" si="42"/>
        <v>42580</v>
      </c>
      <c r="D1224" s="212"/>
      <c r="E1224" s="35">
        <v>42580</v>
      </c>
      <c r="F1224" s="144" t="s">
        <v>1467</v>
      </c>
      <c r="G1224" s="191"/>
      <c r="H1224" s="198" t="s">
        <v>1123</v>
      </c>
      <c r="I1224" s="186">
        <v>1170</v>
      </c>
      <c r="J1224" s="186">
        <v>11000</v>
      </c>
      <c r="K1224" s="185"/>
      <c r="L1224" s="186"/>
      <c r="M1224" s="36">
        <f>ROUND(I1224*J1224,-3)</f>
        <v>12870000</v>
      </c>
      <c r="N1224" s="37" t="s">
        <v>1443</v>
      </c>
      <c r="O1224" s="37" t="s">
        <v>8</v>
      </c>
      <c r="P1224" s="47" t="str">
        <f>IF(AND('331-CT'!$F$5=TH!H1224,OR(N1224="331",O1224="331")),"x","")</f>
        <v/>
      </c>
      <c r="Q1224" s="47" t="str">
        <f>IF(AND(B1224='111'!$L$11,OR($N1224=$Q$7,$O1224=$Q$7)),"x","")</f>
        <v/>
      </c>
      <c r="R1224" s="47" t="str">
        <f>IF(AND($N1224=$Q$7,$B1224&lt;'111'!$L$11),"x","")</f>
        <v/>
      </c>
      <c r="S1224" s="47" t="str">
        <f>IF(AND($O1224=$Q$7,$B1224&lt;'111'!$L$11),"x","")</f>
        <v/>
      </c>
    </row>
    <row r="1225" spans="1:19" ht="15.75" customHeight="1">
      <c r="A1225" s="152" t="str">
        <f>IF(B1225&lt;&gt;"",IF(AND(B1225='IN-TC'!$S$4,OR(TH!N1225="1111",TH!O1225="1111")),TH!D1225,""),"")</f>
        <v/>
      </c>
      <c r="B1225" s="34">
        <f t="shared" si="41"/>
        <v>7</v>
      </c>
      <c r="C1225" s="35">
        <f t="shared" si="42"/>
        <v>42581</v>
      </c>
      <c r="D1225" s="212"/>
      <c r="E1225" s="35">
        <v>42581</v>
      </c>
      <c r="F1225" s="144" t="s">
        <v>1467</v>
      </c>
      <c r="G1225" s="191"/>
      <c r="H1225" s="198" t="s">
        <v>831</v>
      </c>
      <c r="I1225" s="186">
        <v>1870</v>
      </c>
      <c r="J1225" s="186">
        <v>12000</v>
      </c>
      <c r="K1225" s="185"/>
      <c r="L1225" s="186"/>
      <c r="M1225" s="36">
        <f>ROUND(I1225*J1225,0)</f>
        <v>22440000</v>
      </c>
      <c r="N1225" s="37" t="s">
        <v>1443</v>
      </c>
      <c r="O1225" s="37" t="s">
        <v>8</v>
      </c>
      <c r="P1225" s="47" t="str">
        <f>IF(AND('331-CT'!$F$5=TH!H1225,OR(N1225="331",O1225="331")),"x","")</f>
        <v/>
      </c>
      <c r="Q1225" s="47" t="str">
        <f>IF(AND(B1225='111'!$L$11,OR($N1225=$Q$7,$O1225=$Q$7)),"x","")</f>
        <v/>
      </c>
      <c r="R1225" s="47" t="str">
        <f>IF(AND($N1225=$Q$7,$B1225&lt;'111'!$L$11),"x","")</f>
        <v/>
      </c>
      <c r="S1225" s="47" t="str">
        <f>IF(AND($O1225=$Q$7,$B1225&lt;'111'!$L$11),"x","")</f>
        <v/>
      </c>
    </row>
    <row r="1226" spans="1:19" ht="15.75" customHeight="1">
      <c r="A1226" s="152" t="str">
        <f>IF(B1226&lt;&gt;"",IF(AND(B1226='IN-TC'!$S$4,OR(TH!N1226="1111",TH!O1226="1111")),TH!D1226,""),"")</f>
        <v/>
      </c>
      <c r="B1226" s="34">
        <f t="shared" si="41"/>
        <v>8</v>
      </c>
      <c r="C1226" s="35">
        <f t="shared" si="42"/>
        <v>42583</v>
      </c>
      <c r="D1226" s="212" t="s">
        <v>860</v>
      </c>
      <c r="E1226" s="35">
        <v>42583</v>
      </c>
      <c r="F1226" s="144" t="s">
        <v>1065</v>
      </c>
      <c r="G1226" s="191"/>
      <c r="H1226" s="198"/>
      <c r="I1226" s="186"/>
      <c r="J1226" s="186"/>
      <c r="K1226" s="185"/>
      <c r="L1226" s="186"/>
      <c r="M1226" s="36">
        <v>120000</v>
      </c>
      <c r="N1226" s="37"/>
      <c r="O1226" s="37" t="s">
        <v>34</v>
      </c>
      <c r="P1226" s="47" t="str">
        <f>IF(AND('331-CT'!$F$5=TH!H1226,OR(N1226="331",O1226="331")),"x","")</f>
        <v/>
      </c>
      <c r="Q1226" s="47" t="str">
        <f>IF(AND(B1226='111'!$L$11,OR($N1226=$Q$7,$O1226=$Q$7)),"x","")</f>
        <v/>
      </c>
      <c r="R1226" s="47" t="str">
        <f>IF(AND($N1226=$Q$7,$B1226&lt;'111'!$L$11),"x","")</f>
        <v/>
      </c>
      <c r="S1226" s="47" t="str">
        <f>IF(AND($O1226=$Q$7,$B1226&lt;'111'!$L$11),"x","")</f>
        <v>x</v>
      </c>
    </row>
    <row r="1227" spans="1:19" ht="15.75" customHeight="1">
      <c r="A1227" s="152" t="str">
        <f>IF(B1227&lt;&gt;"",IF(AND(B1227='IN-TC'!$S$4,OR(TH!N1227="1111",TH!O1227="1111")),TH!D1227,""),"")</f>
        <v/>
      </c>
      <c r="B1227" s="34">
        <f t="shared" si="41"/>
        <v>8</v>
      </c>
      <c r="C1227" s="35">
        <f t="shared" si="42"/>
        <v>42583</v>
      </c>
      <c r="D1227" s="212" t="s">
        <v>861</v>
      </c>
      <c r="E1227" s="35">
        <v>42583</v>
      </c>
      <c r="F1227" s="144" t="s">
        <v>1066</v>
      </c>
      <c r="G1227" s="191"/>
      <c r="H1227" s="198"/>
      <c r="I1227" s="186"/>
      <c r="J1227" s="186"/>
      <c r="K1227" s="185"/>
      <c r="L1227" s="186"/>
      <c r="M1227" s="36">
        <v>500000</v>
      </c>
      <c r="N1227" s="37"/>
      <c r="O1227" s="37" t="s">
        <v>34</v>
      </c>
      <c r="P1227" s="47" t="str">
        <f>IF(AND('331-CT'!$F$5=TH!H1227,OR(N1227="331",O1227="331")),"x","")</f>
        <v/>
      </c>
      <c r="Q1227" s="47" t="str">
        <f>IF(AND(B1227='111'!$L$11,OR($N1227=$Q$7,$O1227=$Q$7)),"x","")</f>
        <v/>
      </c>
      <c r="R1227" s="47" t="str">
        <f>IF(AND($N1227=$Q$7,$B1227&lt;'111'!$L$11),"x","")</f>
        <v/>
      </c>
      <c r="S1227" s="47" t="str">
        <f>IF(AND($O1227=$Q$7,$B1227&lt;'111'!$L$11),"x","")</f>
        <v>x</v>
      </c>
    </row>
    <row r="1228" spans="1:19" ht="15.75" customHeight="1">
      <c r="A1228" s="152" t="str">
        <f>IF(B1228&lt;&gt;"",IF(AND(B1228='IN-TC'!$S$4,OR(TH!N1228="1111",TH!O1228="1111")),TH!D1228,""),"")</f>
        <v/>
      </c>
      <c r="B1228" s="34">
        <f t="shared" si="41"/>
        <v>8</v>
      </c>
      <c r="C1228" s="35">
        <f t="shared" si="42"/>
        <v>42583</v>
      </c>
      <c r="D1228" s="212" t="s">
        <v>862</v>
      </c>
      <c r="E1228" s="35">
        <v>42583</v>
      </c>
      <c r="F1228" s="144" t="s">
        <v>203</v>
      </c>
      <c r="G1228" s="191" t="s">
        <v>203</v>
      </c>
      <c r="H1228" s="198" t="s">
        <v>1067</v>
      </c>
      <c r="I1228" s="186"/>
      <c r="J1228" s="186"/>
      <c r="K1228" s="185"/>
      <c r="L1228" s="186"/>
      <c r="M1228" s="36">
        <v>10517000</v>
      </c>
      <c r="N1228" s="37" t="s">
        <v>814</v>
      </c>
      <c r="O1228" s="37" t="s">
        <v>34</v>
      </c>
      <c r="P1228" s="47" t="str">
        <f>IF(AND('331-CT'!$F$5=TH!H1228,OR(N1228="331",O1228="331")),"x","")</f>
        <v/>
      </c>
      <c r="Q1228" s="47" t="str">
        <f>IF(AND(B1228='111'!$L$11,OR($N1228=$Q$7,$O1228=$Q$7)),"x","")</f>
        <v/>
      </c>
      <c r="R1228" s="47" t="str">
        <f>IF(AND($N1228=$Q$7,$B1228&lt;'111'!$L$11),"x","")</f>
        <v/>
      </c>
      <c r="S1228" s="47" t="str">
        <f>IF(AND($O1228=$Q$7,$B1228&lt;'111'!$L$11),"x","")</f>
        <v>x</v>
      </c>
    </row>
    <row r="1229" spans="1:19" ht="15.75" customHeight="1">
      <c r="A1229" s="152" t="str">
        <f>IF(B1229&lt;&gt;"",IF(AND(B1229='IN-TC'!$S$4,OR(TH!N1229="1111",TH!O1229="1111")),TH!D1229,""),"")</f>
        <v/>
      </c>
      <c r="B1229" s="34">
        <f t="shared" ref="B1229:B1292" si="43">IF(C1229&lt;&gt;"",MONTH(C1229),"")</f>
        <v>8</v>
      </c>
      <c r="C1229" s="35">
        <f t="shared" ref="C1229:C1292" si="44">E1229</f>
        <v>42583</v>
      </c>
      <c r="D1229" s="212" t="s">
        <v>863</v>
      </c>
      <c r="E1229" s="35">
        <v>42583</v>
      </c>
      <c r="F1229" s="144" t="s">
        <v>610</v>
      </c>
      <c r="G1229" s="191"/>
      <c r="H1229" s="198"/>
      <c r="I1229" s="186"/>
      <c r="J1229" s="186"/>
      <c r="K1229" s="185"/>
      <c r="L1229" s="186"/>
      <c r="M1229" s="36">
        <v>1560000</v>
      </c>
      <c r="N1229" s="37"/>
      <c r="O1229" s="37" t="s">
        <v>34</v>
      </c>
      <c r="P1229" s="47" t="str">
        <f>IF(AND('331-CT'!$F$5=TH!H1229,OR(N1229="331",O1229="331")),"x","")</f>
        <v/>
      </c>
      <c r="Q1229" s="47" t="str">
        <f>IF(AND(B1229='111'!$L$11,OR($N1229=$Q$7,$O1229=$Q$7)),"x","")</f>
        <v/>
      </c>
      <c r="R1229" s="47" t="str">
        <f>IF(AND($N1229=$Q$7,$B1229&lt;'111'!$L$11),"x","")</f>
        <v/>
      </c>
      <c r="S1229" s="47" t="str">
        <f>IF(AND($O1229=$Q$7,$B1229&lt;'111'!$L$11),"x","")</f>
        <v>x</v>
      </c>
    </row>
    <row r="1230" spans="1:19" ht="15.75" customHeight="1">
      <c r="A1230" s="152" t="str">
        <f>IF(B1230&lt;&gt;"",IF(AND(B1230='IN-TC'!$S$4,OR(TH!N1230="1111",TH!O1230="1111")),TH!D1230,""),"")</f>
        <v/>
      </c>
      <c r="B1230" s="34">
        <f t="shared" si="43"/>
        <v>8</v>
      </c>
      <c r="C1230" s="35">
        <f t="shared" si="44"/>
        <v>42583</v>
      </c>
      <c r="D1230" s="212"/>
      <c r="E1230" s="35">
        <v>42583</v>
      </c>
      <c r="F1230" s="144" t="s">
        <v>1467</v>
      </c>
      <c r="G1230" s="191"/>
      <c r="H1230" s="198" t="s">
        <v>831</v>
      </c>
      <c r="I1230" s="186">
        <v>1510</v>
      </c>
      <c r="J1230" s="186">
        <v>12000</v>
      </c>
      <c r="K1230" s="185"/>
      <c r="L1230" s="186"/>
      <c r="M1230" s="36">
        <f>ROUND(I1230*J1230,0)</f>
        <v>18120000</v>
      </c>
      <c r="N1230" s="37" t="s">
        <v>1443</v>
      </c>
      <c r="O1230" s="37" t="s">
        <v>8</v>
      </c>
      <c r="P1230" s="47" t="str">
        <f>IF(AND('331-CT'!$F$5=TH!H1230,OR(N1230="331",O1230="331")),"x","")</f>
        <v/>
      </c>
      <c r="Q1230" s="47" t="str">
        <f>IF(AND(B1230='111'!$L$11,OR($N1230=$Q$7,$O1230=$Q$7)),"x","")</f>
        <v/>
      </c>
      <c r="R1230" s="47" t="str">
        <f>IF(AND($N1230=$Q$7,$B1230&lt;'111'!$L$11),"x","")</f>
        <v/>
      </c>
      <c r="S1230" s="47" t="str">
        <f>IF(AND($O1230=$Q$7,$B1230&lt;'111'!$L$11),"x","")</f>
        <v/>
      </c>
    </row>
    <row r="1231" spans="1:19" ht="15.75" customHeight="1">
      <c r="A1231" s="152" t="str">
        <f>IF(B1231&lt;&gt;"",IF(AND(B1231='IN-TC'!$S$4,OR(TH!N1231="1111",TH!O1231="1111")),TH!D1231,""),"")</f>
        <v/>
      </c>
      <c r="B1231" s="34">
        <f t="shared" si="43"/>
        <v>8</v>
      </c>
      <c r="C1231" s="35">
        <f t="shared" si="44"/>
        <v>42583</v>
      </c>
      <c r="D1231" s="212"/>
      <c r="E1231" s="35">
        <v>42583</v>
      </c>
      <c r="F1231" s="144" t="s">
        <v>1466</v>
      </c>
      <c r="G1231" s="191" t="s">
        <v>204</v>
      </c>
      <c r="H1231" s="198" t="s">
        <v>832</v>
      </c>
      <c r="I1231" s="186">
        <v>781</v>
      </c>
      <c r="J1231" s="186">
        <v>15000</v>
      </c>
      <c r="K1231" s="185"/>
      <c r="L1231" s="186"/>
      <c r="M1231" s="36">
        <f>ROUND(I1231*J1231,0)</f>
        <v>11715000</v>
      </c>
      <c r="N1231" s="37" t="s">
        <v>1443</v>
      </c>
      <c r="O1231" s="37" t="s">
        <v>8</v>
      </c>
      <c r="P1231" s="47" t="str">
        <f>IF(AND('331-CT'!$F$5=TH!H1231,OR(N1231="331",O1231="331")),"x","")</f>
        <v/>
      </c>
      <c r="Q1231" s="47" t="str">
        <f>IF(AND(B1231='111'!$L$11,OR($N1231=$Q$7,$O1231=$Q$7)),"x","")</f>
        <v/>
      </c>
      <c r="R1231" s="47" t="str">
        <f>IF(AND($N1231=$Q$7,$B1231&lt;'111'!$L$11),"x","")</f>
        <v/>
      </c>
      <c r="S1231" s="47" t="str">
        <f>IF(AND($O1231=$Q$7,$B1231&lt;'111'!$L$11),"x","")</f>
        <v/>
      </c>
    </row>
    <row r="1232" spans="1:19" ht="15.75" customHeight="1">
      <c r="A1232" s="152" t="str">
        <f>IF(B1232&lt;&gt;"",IF(AND(B1232='IN-TC'!$S$4,OR(TH!N1232="1111",TH!O1232="1111")),TH!D1232,""),"")</f>
        <v/>
      </c>
      <c r="B1232" s="34">
        <f t="shared" si="43"/>
        <v>8</v>
      </c>
      <c r="C1232" s="35">
        <f t="shared" si="44"/>
        <v>42583</v>
      </c>
      <c r="D1232" s="212"/>
      <c r="E1232" s="35">
        <v>42583</v>
      </c>
      <c r="F1232" s="144" t="s">
        <v>1484</v>
      </c>
      <c r="G1232" s="191" t="s">
        <v>204</v>
      </c>
      <c r="H1232" s="198" t="s">
        <v>832</v>
      </c>
      <c r="I1232" s="186">
        <v>29</v>
      </c>
      <c r="J1232" s="186">
        <v>12000</v>
      </c>
      <c r="K1232" s="185"/>
      <c r="L1232" s="186"/>
      <c r="M1232" s="36">
        <f>ROUND(I1232*J1232,0)</f>
        <v>348000</v>
      </c>
      <c r="N1232" s="37" t="s">
        <v>1443</v>
      </c>
      <c r="O1232" s="37" t="s">
        <v>8</v>
      </c>
      <c r="P1232" s="47" t="str">
        <f>IF(AND('331-CT'!$F$5=TH!H1232,OR(N1232="331",O1232="331")),"x","")</f>
        <v/>
      </c>
      <c r="Q1232" s="47" t="str">
        <f>IF(AND(B1232='111'!$L$11,OR($N1232=$Q$7,$O1232=$Q$7)),"x","")</f>
        <v/>
      </c>
      <c r="R1232" s="47" t="str">
        <f>IF(AND($N1232=$Q$7,$B1232&lt;'111'!$L$11),"x","")</f>
        <v/>
      </c>
      <c r="S1232" s="47" t="str">
        <f>IF(AND($O1232=$Q$7,$B1232&lt;'111'!$L$11),"x","")</f>
        <v/>
      </c>
    </row>
    <row r="1233" spans="1:19" ht="15.75" customHeight="1">
      <c r="A1233" s="152" t="str">
        <f>IF(B1233&lt;&gt;"",IF(AND(B1233='IN-TC'!$S$4,OR(TH!N1233="1111",TH!O1233="1111")),TH!D1233,""),"")</f>
        <v/>
      </c>
      <c r="B1233" s="34">
        <f t="shared" si="43"/>
        <v>8</v>
      </c>
      <c r="C1233" s="35">
        <f t="shared" si="44"/>
        <v>42584</v>
      </c>
      <c r="D1233" s="212" t="s">
        <v>934</v>
      </c>
      <c r="E1233" s="35">
        <v>42584</v>
      </c>
      <c r="F1233" s="144" t="s">
        <v>1068</v>
      </c>
      <c r="G1233" s="191" t="s">
        <v>105</v>
      </c>
      <c r="H1233" s="198" t="s">
        <v>1069</v>
      </c>
      <c r="I1233" s="186"/>
      <c r="J1233" s="186"/>
      <c r="K1233" s="185"/>
      <c r="L1233" s="186"/>
      <c r="M1233" s="36">
        <v>100000000</v>
      </c>
      <c r="N1233" s="37" t="s">
        <v>34</v>
      </c>
      <c r="O1233" s="37">
        <v>3411</v>
      </c>
      <c r="P1233" s="47" t="str">
        <f>IF(AND('331-CT'!$F$5=TH!H1233,OR(N1233="331",O1233="331")),"x","")</f>
        <v/>
      </c>
      <c r="Q1233" s="47" t="str">
        <f>IF(AND(B1233='111'!$L$11,OR($N1233=$Q$7,$O1233=$Q$7)),"x","")</f>
        <v/>
      </c>
      <c r="R1233" s="47" t="str">
        <f>IF(AND($N1233=$Q$7,$B1233&lt;'111'!$L$11),"x","")</f>
        <v>x</v>
      </c>
      <c r="S1233" s="47" t="str">
        <f>IF(AND($O1233=$Q$7,$B1233&lt;'111'!$L$11),"x","")</f>
        <v/>
      </c>
    </row>
    <row r="1234" spans="1:19" ht="15.75" customHeight="1">
      <c r="A1234" s="152" t="str">
        <f>IF(B1234&lt;&gt;"",IF(AND(B1234='IN-TC'!$S$4,OR(TH!N1234="1111",TH!O1234="1111")),TH!D1234,""),"")</f>
        <v/>
      </c>
      <c r="B1234" s="34">
        <f t="shared" si="43"/>
        <v>8</v>
      </c>
      <c r="C1234" s="35">
        <f t="shared" si="44"/>
        <v>42584</v>
      </c>
      <c r="D1234" s="212" t="s">
        <v>864</v>
      </c>
      <c r="E1234" s="35">
        <v>42584</v>
      </c>
      <c r="F1234" s="144" t="s">
        <v>1058</v>
      </c>
      <c r="G1234" s="191" t="s">
        <v>204</v>
      </c>
      <c r="H1234" s="198"/>
      <c r="I1234" s="186"/>
      <c r="J1234" s="186"/>
      <c r="K1234" s="185"/>
      <c r="L1234" s="186"/>
      <c r="M1234" s="36">
        <v>120035000</v>
      </c>
      <c r="N1234" s="37"/>
      <c r="O1234" s="37" t="s">
        <v>34</v>
      </c>
      <c r="P1234" s="47" t="str">
        <f>IF(AND('331-CT'!$F$5=TH!H1234,OR(N1234="331",O1234="331")),"x","")</f>
        <v/>
      </c>
      <c r="Q1234" s="47" t="str">
        <f>IF(AND(B1234='111'!$L$11,OR($N1234=$Q$7,$O1234=$Q$7)),"x","")</f>
        <v/>
      </c>
      <c r="R1234" s="47" t="str">
        <f>IF(AND($N1234=$Q$7,$B1234&lt;'111'!$L$11),"x","")</f>
        <v/>
      </c>
      <c r="S1234" s="47" t="str">
        <f>IF(AND($O1234=$Q$7,$B1234&lt;'111'!$L$11),"x","")</f>
        <v>x</v>
      </c>
    </row>
    <row r="1235" spans="1:19" ht="15.75" customHeight="1">
      <c r="A1235" s="152" t="str">
        <f>IF(B1235&lt;&gt;"",IF(AND(B1235='IN-TC'!$S$4,OR(TH!N1235="1111",TH!O1235="1111")),TH!D1235,""),"")</f>
        <v/>
      </c>
      <c r="B1235" s="34">
        <f t="shared" si="43"/>
        <v>8</v>
      </c>
      <c r="C1235" s="35">
        <f t="shared" si="44"/>
        <v>42584</v>
      </c>
      <c r="D1235" s="212" t="s">
        <v>865</v>
      </c>
      <c r="E1235" s="35">
        <v>42584</v>
      </c>
      <c r="F1235" s="144" t="s">
        <v>671</v>
      </c>
      <c r="G1235" s="191" t="s">
        <v>207</v>
      </c>
      <c r="H1235" s="198"/>
      <c r="I1235" s="186"/>
      <c r="J1235" s="186"/>
      <c r="K1235" s="185"/>
      <c r="L1235" s="186"/>
      <c r="M1235" s="36">
        <v>1000000</v>
      </c>
      <c r="N1235" s="37"/>
      <c r="O1235" s="37" t="s">
        <v>34</v>
      </c>
      <c r="P1235" s="47" t="str">
        <f>IF(AND('331-CT'!$F$5=TH!H1235,OR(N1235="331",O1235="331")),"x","")</f>
        <v/>
      </c>
      <c r="Q1235" s="47" t="str">
        <f>IF(AND(B1235='111'!$L$11,OR($N1235=$Q$7,$O1235=$Q$7)),"x","")</f>
        <v/>
      </c>
      <c r="R1235" s="47" t="str">
        <f>IF(AND($N1235=$Q$7,$B1235&lt;'111'!$L$11),"x","")</f>
        <v/>
      </c>
      <c r="S1235" s="47" t="str">
        <f>IF(AND($O1235=$Q$7,$B1235&lt;'111'!$L$11),"x","")</f>
        <v>x</v>
      </c>
    </row>
    <row r="1236" spans="1:19" ht="15.75" customHeight="1">
      <c r="A1236" s="152" t="str">
        <f>IF(B1236&lt;&gt;"",IF(AND(B1236='IN-TC'!$S$4,OR(TH!N1236="1111",TH!O1236="1111")),TH!D1236,""),"")</f>
        <v/>
      </c>
      <c r="B1236" s="34">
        <f t="shared" si="43"/>
        <v>8</v>
      </c>
      <c r="C1236" s="35">
        <f t="shared" si="44"/>
        <v>42584</v>
      </c>
      <c r="D1236" s="212" t="s">
        <v>866</v>
      </c>
      <c r="E1236" s="35">
        <v>42584</v>
      </c>
      <c r="F1236" s="144" t="s">
        <v>270</v>
      </c>
      <c r="G1236" s="191" t="s">
        <v>207</v>
      </c>
      <c r="H1236" s="198"/>
      <c r="I1236" s="186"/>
      <c r="J1236" s="186"/>
      <c r="K1236" s="185"/>
      <c r="L1236" s="186"/>
      <c r="M1236" s="36">
        <v>365000</v>
      </c>
      <c r="N1236" s="37"/>
      <c r="O1236" s="37" t="s">
        <v>34</v>
      </c>
      <c r="P1236" s="47" t="str">
        <f>IF(AND('331-CT'!$F$5=TH!H1236,OR(N1236="331",O1236="331")),"x","")</f>
        <v/>
      </c>
      <c r="Q1236" s="47" t="str">
        <f>IF(AND(B1236='111'!$L$11,OR($N1236=$Q$7,$O1236=$Q$7)),"x","")</f>
        <v/>
      </c>
      <c r="R1236" s="47" t="str">
        <f>IF(AND($N1236=$Q$7,$B1236&lt;'111'!$L$11),"x","")</f>
        <v/>
      </c>
      <c r="S1236" s="47" t="str">
        <f>IF(AND($O1236=$Q$7,$B1236&lt;'111'!$L$11),"x","")</f>
        <v>x</v>
      </c>
    </row>
    <row r="1237" spans="1:19" ht="15.75" customHeight="1">
      <c r="A1237" s="152" t="str">
        <f>IF(B1237&lt;&gt;"",IF(AND(B1237='IN-TC'!$S$4,OR(TH!N1237="1111",TH!O1237="1111")),TH!D1237,""),"")</f>
        <v/>
      </c>
      <c r="B1237" s="34">
        <f t="shared" si="43"/>
        <v>8</v>
      </c>
      <c r="C1237" s="35">
        <f t="shared" si="44"/>
        <v>42584</v>
      </c>
      <c r="D1237" s="212" t="s">
        <v>867</v>
      </c>
      <c r="E1237" s="35">
        <v>42584</v>
      </c>
      <c r="F1237" s="144" t="s">
        <v>1070</v>
      </c>
      <c r="G1237" s="191"/>
      <c r="H1237" s="198"/>
      <c r="I1237" s="186"/>
      <c r="J1237" s="186"/>
      <c r="K1237" s="185"/>
      <c r="L1237" s="186"/>
      <c r="M1237" s="36">
        <v>156000</v>
      </c>
      <c r="N1237" s="37"/>
      <c r="O1237" s="37" t="s">
        <v>34</v>
      </c>
      <c r="P1237" s="47" t="str">
        <f>IF(AND('331-CT'!$F$5=TH!H1237,OR(N1237="331",O1237="331")),"x","")</f>
        <v/>
      </c>
      <c r="Q1237" s="47" t="str">
        <f>IF(AND(B1237='111'!$L$11,OR($N1237=$Q$7,$O1237=$Q$7)),"x","")</f>
        <v/>
      </c>
      <c r="R1237" s="47" t="str">
        <f>IF(AND($N1237=$Q$7,$B1237&lt;'111'!$L$11),"x","")</f>
        <v/>
      </c>
      <c r="S1237" s="47" t="str">
        <f>IF(AND($O1237=$Q$7,$B1237&lt;'111'!$L$11),"x","")</f>
        <v>x</v>
      </c>
    </row>
    <row r="1238" spans="1:19" ht="15.75" customHeight="1">
      <c r="A1238" s="152" t="str">
        <f>IF(B1238&lt;&gt;"",IF(AND(B1238='IN-TC'!$S$4,OR(TH!N1238="1111",TH!O1238="1111")),TH!D1238,""),"")</f>
        <v/>
      </c>
      <c r="B1238" s="34">
        <f t="shared" si="43"/>
        <v>8</v>
      </c>
      <c r="C1238" s="35">
        <f t="shared" si="44"/>
        <v>42584</v>
      </c>
      <c r="D1238" s="212" t="s">
        <v>868</v>
      </c>
      <c r="E1238" s="35">
        <v>42584</v>
      </c>
      <c r="F1238" s="144" t="s">
        <v>203</v>
      </c>
      <c r="G1238" s="191" t="s">
        <v>203</v>
      </c>
      <c r="H1238" s="198" t="s">
        <v>1413</v>
      </c>
      <c r="I1238" s="186"/>
      <c r="J1238" s="186"/>
      <c r="K1238" s="185"/>
      <c r="L1238" s="186"/>
      <c r="M1238" s="36">
        <v>16017000</v>
      </c>
      <c r="N1238" s="37" t="s">
        <v>814</v>
      </c>
      <c r="O1238" s="37" t="s">
        <v>34</v>
      </c>
      <c r="P1238" s="47" t="str">
        <f>IF(AND('331-CT'!$F$5=TH!H1238,OR(N1238="331",O1238="331")),"x","")</f>
        <v/>
      </c>
      <c r="Q1238" s="47" t="str">
        <f>IF(AND(B1238='111'!$L$11,OR($N1238=$Q$7,$O1238=$Q$7)),"x","")</f>
        <v/>
      </c>
      <c r="R1238" s="47" t="str">
        <f>IF(AND($N1238=$Q$7,$B1238&lt;'111'!$L$11),"x","")</f>
        <v/>
      </c>
      <c r="S1238" s="47" t="str">
        <f>IF(AND($O1238=$Q$7,$B1238&lt;'111'!$L$11),"x","")</f>
        <v>x</v>
      </c>
    </row>
    <row r="1239" spans="1:19" ht="15.75" customHeight="1">
      <c r="A1239" s="152" t="str">
        <f>IF(B1239&lt;&gt;"",IF(AND(B1239='IN-TC'!$S$4,OR(TH!N1239="1111",TH!O1239="1111")),TH!D1239,""),"")</f>
        <v/>
      </c>
      <c r="B1239" s="34">
        <f t="shared" si="43"/>
        <v>8</v>
      </c>
      <c r="C1239" s="35">
        <f t="shared" si="44"/>
        <v>42584</v>
      </c>
      <c r="D1239" s="212" t="s">
        <v>869</v>
      </c>
      <c r="E1239" s="35">
        <v>42584</v>
      </c>
      <c r="F1239" s="144" t="s">
        <v>1071</v>
      </c>
      <c r="G1239" s="191"/>
      <c r="H1239" s="198"/>
      <c r="I1239" s="186"/>
      <c r="J1239" s="186"/>
      <c r="K1239" s="185"/>
      <c r="L1239" s="186"/>
      <c r="M1239" s="36">
        <v>1210000</v>
      </c>
      <c r="N1239" s="37"/>
      <c r="O1239" s="37" t="s">
        <v>34</v>
      </c>
      <c r="P1239" s="47" t="str">
        <f>IF(AND('331-CT'!$F$5=TH!H1239,OR(N1239="331",O1239="331")),"x","")</f>
        <v/>
      </c>
      <c r="Q1239" s="47" t="str">
        <f>IF(AND(B1239='111'!$L$11,OR($N1239=$Q$7,$O1239=$Q$7)),"x","")</f>
        <v/>
      </c>
      <c r="R1239" s="47" t="str">
        <f>IF(AND($N1239=$Q$7,$B1239&lt;'111'!$L$11),"x","")</f>
        <v/>
      </c>
      <c r="S1239" s="47" t="str">
        <f>IF(AND($O1239=$Q$7,$B1239&lt;'111'!$L$11),"x","")</f>
        <v>x</v>
      </c>
    </row>
    <row r="1240" spans="1:19" ht="15.75" customHeight="1">
      <c r="A1240" s="152" t="str">
        <f>IF(B1240&lt;&gt;"",IF(AND(B1240='IN-TC'!$S$4,OR(TH!N1240="1111",TH!O1240="1111")),TH!D1240,""),"")</f>
        <v/>
      </c>
      <c r="B1240" s="34">
        <f t="shared" si="43"/>
        <v>8</v>
      </c>
      <c r="C1240" s="35">
        <f t="shared" si="44"/>
        <v>42584</v>
      </c>
      <c r="D1240" s="212"/>
      <c r="E1240" s="35">
        <v>42584</v>
      </c>
      <c r="F1240" s="144" t="s">
        <v>1476</v>
      </c>
      <c r="G1240" s="191" t="s">
        <v>1480</v>
      </c>
      <c r="H1240" s="198" t="s">
        <v>843</v>
      </c>
      <c r="I1240" s="186">
        <v>940</v>
      </c>
      <c r="J1240" s="186">
        <v>37000</v>
      </c>
      <c r="K1240" s="185"/>
      <c r="L1240" s="186"/>
      <c r="M1240" s="36">
        <f>ROUND(I1240*J1240,0)</f>
        <v>34780000</v>
      </c>
      <c r="N1240" s="37" t="s">
        <v>1443</v>
      </c>
      <c r="O1240" s="37" t="s">
        <v>8</v>
      </c>
      <c r="P1240" s="47" t="str">
        <f>IF(AND('331-CT'!$F$5=TH!H1240,OR(N1240="331",O1240="331")),"x","")</f>
        <v/>
      </c>
      <c r="Q1240" s="47" t="str">
        <f>IF(AND(B1240='111'!$L$11,OR($N1240=$Q$7,$O1240=$Q$7)),"x","")</f>
        <v/>
      </c>
      <c r="R1240" s="47" t="str">
        <f>IF(AND($N1240=$Q$7,$B1240&lt;'111'!$L$11),"x","")</f>
        <v/>
      </c>
      <c r="S1240" s="47" t="str">
        <f>IF(AND($O1240=$Q$7,$B1240&lt;'111'!$L$11),"x","")</f>
        <v/>
      </c>
    </row>
    <row r="1241" spans="1:19" ht="15.75" customHeight="1">
      <c r="A1241" s="152" t="str">
        <f>IF(B1241&lt;&gt;"",IF(AND(B1241='IN-TC'!$S$4,OR(TH!N1241="1111",TH!O1241="1111")),TH!D1241,""),"")</f>
        <v/>
      </c>
      <c r="B1241" s="34">
        <f t="shared" si="43"/>
        <v>8</v>
      </c>
      <c r="C1241" s="35">
        <f t="shared" si="44"/>
        <v>42584</v>
      </c>
      <c r="D1241" s="212"/>
      <c r="E1241" s="35">
        <v>42584</v>
      </c>
      <c r="F1241" s="144" t="s">
        <v>1548</v>
      </c>
      <c r="G1241" s="191"/>
      <c r="H1241" s="198" t="s">
        <v>829</v>
      </c>
      <c r="I1241" s="186">
        <v>6230</v>
      </c>
      <c r="J1241" s="186">
        <v>1200</v>
      </c>
      <c r="K1241" s="185"/>
      <c r="L1241" s="186"/>
      <c r="M1241" s="36">
        <f>ROUND(I1241*J1241,-3)</f>
        <v>7476000</v>
      </c>
      <c r="N1241" s="37" t="s">
        <v>1552</v>
      </c>
      <c r="O1241" s="37" t="s">
        <v>8</v>
      </c>
      <c r="P1241" s="47" t="str">
        <f>IF(AND('331-CT'!$F$5=TH!H1241,OR(N1241="331",O1241="331")),"x","")</f>
        <v/>
      </c>
      <c r="Q1241" s="47" t="str">
        <f>IF(AND(B1241='111'!$L$11,OR($N1241=$Q$7,$O1241=$Q$7)),"x","")</f>
        <v/>
      </c>
      <c r="R1241" s="47" t="str">
        <f>IF(AND($N1241=$Q$7,$B1241&lt;'111'!$L$11),"x","")</f>
        <v/>
      </c>
      <c r="S1241" s="47" t="str">
        <f>IF(AND($O1241=$Q$7,$B1241&lt;'111'!$L$11),"x","")</f>
        <v/>
      </c>
    </row>
    <row r="1242" spans="1:19" ht="15.75" customHeight="1">
      <c r="A1242" s="152" t="str">
        <f>IF(B1242&lt;&gt;"",IF(AND(B1242='IN-TC'!$S$4,OR(TH!N1242="1111",TH!O1242="1111")),TH!D1242,""),"")</f>
        <v/>
      </c>
      <c r="B1242" s="34">
        <f t="shared" si="43"/>
        <v>8</v>
      </c>
      <c r="C1242" s="35">
        <f t="shared" si="44"/>
        <v>42585</v>
      </c>
      <c r="D1242" s="212"/>
      <c r="E1242" s="35">
        <v>42585</v>
      </c>
      <c r="F1242" s="144" t="s">
        <v>1476</v>
      </c>
      <c r="G1242" s="191" t="s">
        <v>1480</v>
      </c>
      <c r="H1242" s="198" t="s">
        <v>843</v>
      </c>
      <c r="I1242" s="186">
        <v>660</v>
      </c>
      <c r="J1242" s="186">
        <v>37000</v>
      </c>
      <c r="K1242" s="185"/>
      <c r="L1242" s="186"/>
      <c r="M1242" s="36">
        <f>ROUND(I1242*J1242,0)</f>
        <v>24420000</v>
      </c>
      <c r="N1242" s="37" t="s">
        <v>1443</v>
      </c>
      <c r="O1242" s="37" t="s">
        <v>8</v>
      </c>
      <c r="P1242" s="47" t="str">
        <f>IF(AND('331-CT'!$F$5=TH!H1242,OR(N1242="331",O1242="331")),"x","")</f>
        <v/>
      </c>
      <c r="Q1242" s="47" t="str">
        <f>IF(AND(B1242='111'!$L$11,OR($N1242=$Q$7,$O1242=$Q$7)),"x","")</f>
        <v/>
      </c>
      <c r="R1242" s="47" t="str">
        <f>IF(AND($N1242=$Q$7,$B1242&lt;'111'!$L$11),"x","")</f>
        <v/>
      </c>
      <c r="S1242" s="47" t="str">
        <f>IF(AND($O1242=$Q$7,$B1242&lt;'111'!$L$11),"x","")</f>
        <v/>
      </c>
    </row>
    <row r="1243" spans="1:19" ht="15.75" customHeight="1">
      <c r="A1243" s="152" t="str">
        <f>IF(B1243&lt;&gt;"",IF(AND(B1243='IN-TC'!$S$4,OR(TH!N1243="1111",TH!O1243="1111")),TH!D1243,""),"")</f>
        <v/>
      </c>
      <c r="B1243" s="34">
        <f t="shared" si="43"/>
        <v>8</v>
      </c>
      <c r="C1243" s="35">
        <f t="shared" si="44"/>
        <v>42585</v>
      </c>
      <c r="D1243" s="212"/>
      <c r="E1243" s="35">
        <v>42585</v>
      </c>
      <c r="F1243" s="144" t="s">
        <v>1466</v>
      </c>
      <c r="G1243" s="191" t="s">
        <v>204</v>
      </c>
      <c r="H1243" s="198" t="s">
        <v>832</v>
      </c>
      <c r="I1243" s="186">
        <v>841</v>
      </c>
      <c r="J1243" s="186">
        <v>14000</v>
      </c>
      <c r="K1243" s="185"/>
      <c r="L1243" s="186"/>
      <c r="M1243" s="36">
        <f>ROUND(I1243*J1243,0)</f>
        <v>11774000</v>
      </c>
      <c r="N1243" s="37" t="s">
        <v>1443</v>
      </c>
      <c r="O1243" s="37" t="s">
        <v>8</v>
      </c>
      <c r="P1243" s="47" t="str">
        <f>IF(AND('331-CT'!$F$5=TH!H1243,OR(N1243="331",O1243="331")),"x","")</f>
        <v/>
      </c>
      <c r="Q1243" s="47" t="str">
        <f>IF(AND(B1243='111'!$L$11,OR($N1243=$Q$7,$O1243=$Q$7)),"x","")</f>
        <v/>
      </c>
      <c r="R1243" s="47" t="str">
        <f>IF(AND($N1243=$Q$7,$B1243&lt;'111'!$L$11),"x","")</f>
        <v/>
      </c>
      <c r="S1243" s="47" t="str">
        <f>IF(AND($O1243=$Q$7,$B1243&lt;'111'!$L$11),"x","")</f>
        <v/>
      </c>
    </row>
    <row r="1244" spans="1:19" ht="15.75" customHeight="1">
      <c r="A1244" s="152" t="str">
        <f>IF(B1244&lt;&gt;"",IF(AND(B1244='IN-TC'!$S$4,OR(TH!N1244="1111",TH!O1244="1111")),TH!D1244,""),"")</f>
        <v/>
      </c>
      <c r="B1244" s="34">
        <f t="shared" si="43"/>
        <v>8</v>
      </c>
      <c r="C1244" s="35">
        <f t="shared" si="44"/>
        <v>42585</v>
      </c>
      <c r="D1244" s="212"/>
      <c r="E1244" s="35">
        <v>42585</v>
      </c>
      <c r="F1244" s="144" t="s">
        <v>1540</v>
      </c>
      <c r="G1244" s="191"/>
      <c r="H1244" s="198" t="s">
        <v>829</v>
      </c>
      <c r="I1244" s="186">
        <v>3000</v>
      </c>
      <c r="J1244" s="186">
        <v>19000</v>
      </c>
      <c r="K1244" s="185"/>
      <c r="L1244" s="186"/>
      <c r="M1244" s="36">
        <f>ROUND(I1244*J1244,-3)</f>
        <v>57000000</v>
      </c>
      <c r="N1244" s="37" t="s">
        <v>1443</v>
      </c>
      <c r="O1244" s="37" t="s">
        <v>8</v>
      </c>
      <c r="P1244" s="47" t="str">
        <f>IF(AND('331-CT'!$F$5=TH!H1244,OR(N1244="331",O1244="331")),"x","")</f>
        <v/>
      </c>
      <c r="Q1244" s="47" t="str">
        <f>IF(AND(B1244='111'!$L$11,OR($N1244=$Q$7,$O1244=$Q$7)),"x","")</f>
        <v/>
      </c>
      <c r="R1244" s="47" t="str">
        <f>IF(AND($N1244=$Q$7,$B1244&lt;'111'!$L$11),"x","")</f>
        <v/>
      </c>
      <c r="S1244" s="47" t="str">
        <f>IF(AND($O1244=$Q$7,$B1244&lt;'111'!$L$11),"x","")</f>
        <v/>
      </c>
    </row>
    <row r="1245" spans="1:19" ht="15.75" customHeight="1">
      <c r="A1245" s="152" t="str">
        <f>IF(B1245&lt;&gt;"",IF(AND(B1245='IN-TC'!$S$4,OR(TH!N1245="1111",TH!O1245="1111")),TH!D1245,""),"")</f>
        <v/>
      </c>
      <c r="B1245" s="34">
        <f t="shared" si="43"/>
        <v>8</v>
      </c>
      <c r="C1245" s="35">
        <f t="shared" si="44"/>
        <v>42585</v>
      </c>
      <c r="D1245" s="212"/>
      <c r="E1245" s="35">
        <v>42585</v>
      </c>
      <c r="F1245" s="144" t="s">
        <v>1549</v>
      </c>
      <c r="G1245" s="191"/>
      <c r="H1245" s="198" t="s">
        <v>829</v>
      </c>
      <c r="I1245" s="186">
        <v>3000</v>
      </c>
      <c r="J1245" s="186">
        <v>1000</v>
      </c>
      <c r="K1245" s="185"/>
      <c r="L1245" s="186"/>
      <c r="M1245" s="36">
        <f>ROUND(I1245*J1245,-3)</f>
        <v>3000000</v>
      </c>
      <c r="N1245" s="37" t="s">
        <v>1552</v>
      </c>
      <c r="O1245" s="37" t="s">
        <v>8</v>
      </c>
      <c r="P1245" s="47" t="str">
        <f>IF(AND('331-CT'!$F$5=TH!H1245,OR(N1245="331",O1245="331")),"x","")</f>
        <v/>
      </c>
      <c r="Q1245" s="47" t="str">
        <f>IF(AND(B1245='111'!$L$11,OR($N1245=$Q$7,$O1245=$Q$7)),"x","")</f>
        <v/>
      </c>
      <c r="R1245" s="47" t="str">
        <f>IF(AND($N1245=$Q$7,$B1245&lt;'111'!$L$11),"x","")</f>
        <v/>
      </c>
      <c r="S1245" s="47" t="str">
        <f>IF(AND($O1245=$Q$7,$B1245&lt;'111'!$L$11),"x","")</f>
        <v/>
      </c>
    </row>
    <row r="1246" spans="1:19" ht="15.75" customHeight="1">
      <c r="A1246" s="152" t="str">
        <f>IF(B1246&lt;&gt;"",IF(AND(B1246='IN-TC'!$S$4,OR(TH!N1246="1111",TH!O1246="1111")),TH!D1246,""),"")</f>
        <v/>
      </c>
      <c r="B1246" s="34">
        <f t="shared" si="43"/>
        <v>8</v>
      </c>
      <c r="C1246" s="35">
        <f t="shared" si="44"/>
        <v>42586</v>
      </c>
      <c r="D1246" s="212" t="s">
        <v>870</v>
      </c>
      <c r="E1246" s="35">
        <v>42586</v>
      </c>
      <c r="F1246" s="144" t="s">
        <v>279</v>
      </c>
      <c r="G1246" s="191"/>
      <c r="H1246" s="198"/>
      <c r="I1246" s="186"/>
      <c r="J1246" s="186"/>
      <c r="K1246" s="185"/>
      <c r="L1246" s="186"/>
      <c r="M1246" s="36">
        <v>550000</v>
      </c>
      <c r="N1246" s="37"/>
      <c r="O1246" s="37" t="s">
        <v>34</v>
      </c>
      <c r="P1246" s="47" t="str">
        <f>IF(AND('331-CT'!$F$5=TH!H1246,OR(N1246="331",O1246="331")),"x","")</f>
        <v/>
      </c>
      <c r="Q1246" s="47" t="str">
        <f>IF(AND(B1246='111'!$L$11,OR($N1246=$Q$7,$O1246=$Q$7)),"x","")</f>
        <v/>
      </c>
      <c r="R1246" s="47" t="str">
        <f>IF(AND($N1246=$Q$7,$B1246&lt;'111'!$L$11),"x","")</f>
        <v/>
      </c>
      <c r="S1246" s="47" t="str">
        <f>IF(AND($O1246=$Q$7,$B1246&lt;'111'!$L$11),"x","")</f>
        <v>x</v>
      </c>
    </row>
    <row r="1247" spans="1:19" ht="15.75" customHeight="1">
      <c r="A1247" s="152" t="str">
        <f>IF(B1247&lt;&gt;"",IF(AND(B1247='IN-TC'!$S$4,OR(TH!N1247="1111",TH!O1247="1111")),TH!D1247,""),"")</f>
        <v/>
      </c>
      <c r="B1247" s="34">
        <f t="shared" si="43"/>
        <v>8</v>
      </c>
      <c r="C1247" s="35">
        <f t="shared" si="44"/>
        <v>42586</v>
      </c>
      <c r="D1247" s="212" t="s">
        <v>935</v>
      </c>
      <c r="E1247" s="35">
        <v>42586</v>
      </c>
      <c r="F1247" s="144" t="s">
        <v>1072</v>
      </c>
      <c r="G1247" s="191" t="s">
        <v>105</v>
      </c>
      <c r="H1247" s="198" t="s">
        <v>1069</v>
      </c>
      <c r="I1247" s="186"/>
      <c r="J1247" s="186"/>
      <c r="K1247" s="185"/>
      <c r="L1247" s="186"/>
      <c r="M1247" s="36">
        <v>40000000</v>
      </c>
      <c r="N1247" s="37" t="s">
        <v>34</v>
      </c>
      <c r="O1247" s="37" t="s">
        <v>812</v>
      </c>
      <c r="P1247" s="47" t="str">
        <f>IF(AND('331-CT'!$F$5=TH!H1247,OR(N1247="331",O1247="331")),"x","")</f>
        <v/>
      </c>
      <c r="Q1247" s="47" t="str">
        <f>IF(AND(B1247='111'!$L$11,OR($N1247=$Q$7,$O1247=$Q$7)),"x","")</f>
        <v/>
      </c>
      <c r="R1247" s="47" t="str">
        <f>IF(AND($N1247=$Q$7,$B1247&lt;'111'!$L$11),"x","")</f>
        <v>x</v>
      </c>
      <c r="S1247" s="47" t="str">
        <f>IF(AND($O1247=$Q$7,$B1247&lt;'111'!$L$11),"x","")</f>
        <v/>
      </c>
    </row>
    <row r="1248" spans="1:19" ht="15.75" customHeight="1">
      <c r="A1248" s="152" t="str">
        <f>IF(B1248&lt;&gt;"",IF(AND(B1248='IN-TC'!$S$4,OR(TH!N1248="1111",TH!O1248="1111")),TH!D1248,""),"")</f>
        <v/>
      </c>
      <c r="B1248" s="34">
        <f t="shared" si="43"/>
        <v>8</v>
      </c>
      <c r="C1248" s="35">
        <f t="shared" si="44"/>
        <v>42586</v>
      </c>
      <c r="D1248" s="212" t="s">
        <v>936</v>
      </c>
      <c r="E1248" s="35">
        <v>42586</v>
      </c>
      <c r="F1248" s="144" t="s">
        <v>105</v>
      </c>
      <c r="G1248" s="191" t="s">
        <v>105</v>
      </c>
      <c r="H1248" s="198" t="s">
        <v>1073</v>
      </c>
      <c r="I1248" s="186"/>
      <c r="J1248" s="186"/>
      <c r="K1248" s="185"/>
      <c r="L1248" s="186"/>
      <c r="M1248" s="36">
        <v>150000000</v>
      </c>
      <c r="N1248" s="37" t="s">
        <v>34</v>
      </c>
      <c r="O1248" s="37" t="s">
        <v>812</v>
      </c>
      <c r="P1248" s="47" t="str">
        <f>IF(AND('331-CT'!$F$5=TH!H1248,OR(N1248="331",O1248="331")),"x","")</f>
        <v/>
      </c>
      <c r="Q1248" s="47" t="str">
        <f>IF(AND(B1248='111'!$L$11,OR($N1248=$Q$7,$O1248=$Q$7)),"x","")</f>
        <v/>
      </c>
      <c r="R1248" s="47" t="str">
        <f>IF(AND($N1248=$Q$7,$B1248&lt;'111'!$L$11),"x","")</f>
        <v>x</v>
      </c>
      <c r="S1248" s="47" t="str">
        <f>IF(AND($O1248=$Q$7,$B1248&lt;'111'!$L$11),"x","")</f>
        <v/>
      </c>
    </row>
    <row r="1249" spans="1:19" ht="15.75" customHeight="1">
      <c r="A1249" s="152" t="str">
        <f>IF(B1249&lt;&gt;"",IF(AND(B1249='IN-TC'!$S$4,OR(TH!N1249="1111",TH!O1249="1111")),TH!D1249,""),"")</f>
        <v/>
      </c>
      <c r="B1249" s="34">
        <f t="shared" si="43"/>
        <v>8</v>
      </c>
      <c r="C1249" s="35">
        <f t="shared" si="44"/>
        <v>42586</v>
      </c>
      <c r="D1249" s="212" t="s">
        <v>937</v>
      </c>
      <c r="E1249" s="35">
        <v>42586</v>
      </c>
      <c r="F1249" s="144" t="s">
        <v>1074</v>
      </c>
      <c r="G1249" s="191" t="s">
        <v>110</v>
      </c>
      <c r="H1249" s="198"/>
      <c r="I1249" s="186"/>
      <c r="J1249" s="186"/>
      <c r="K1249" s="185"/>
      <c r="L1249" s="186"/>
      <c r="M1249" s="36">
        <v>2000000</v>
      </c>
      <c r="N1249" s="37" t="s">
        <v>34</v>
      </c>
      <c r="O1249" s="37"/>
      <c r="P1249" s="47" t="str">
        <f>IF(AND('331-CT'!$F$5=TH!H1249,OR(N1249="331",O1249="331")),"x","")</f>
        <v/>
      </c>
      <c r="Q1249" s="47" t="str">
        <f>IF(AND(B1249='111'!$L$11,OR($N1249=$Q$7,$O1249=$Q$7)),"x","")</f>
        <v/>
      </c>
      <c r="R1249" s="47" t="str">
        <f>IF(AND($N1249=$Q$7,$B1249&lt;'111'!$L$11),"x","")</f>
        <v>x</v>
      </c>
      <c r="S1249" s="47" t="str">
        <f>IF(AND($O1249=$Q$7,$B1249&lt;'111'!$L$11),"x","")</f>
        <v/>
      </c>
    </row>
    <row r="1250" spans="1:19" ht="15.75" customHeight="1">
      <c r="A1250" s="152" t="str">
        <f>IF(B1250&lt;&gt;"",IF(AND(B1250='IN-TC'!$S$4,OR(TH!N1250="1111",TH!O1250="1111")),TH!D1250,""),"")</f>
        <v/>
      </c>
      <c r="B1250" s="34">
        <f t="shared" si="43"/>
        <v>8</v>
      </c>
      <c r="C1250" s="35">
        <f t="shared" si="44"/>
        <v>42586</v>
      </c>
      <c r="D1250" s="212" t="s">
        <v>871</v>
      </c>
      <c r="E1250" s="35">
        <v>42586</v>
      </c>
      <c r="F1250" s="144" t="s">
        <v>1075</v>
      </c>
      <c r="G1250" s="191"/>
      <c r="H1250" s="198"/>
      <c r="I1250" s="186"/>
      <c r="J1250" s="186"/>
      <c r="K1250" s="185"/>
      <c r="L1250" s="186"/>
      <c r="M1250" s="36">
        <v>2133000</v>
      </c>
      <c r="N1250" s="37"/>
      <c r="O1250" s="37" t="s">
        <v>34</v>
      </c>
      <c r="P1250" s="47" t="str">
        <f>IF(AND('331-CT'!$F$5=TH!H1250,OR(N1250="331",O1250="331")),"x","")</f>
        <v/>
      </c>
      <c r="Q1250" s="47" t="str">
        <f>IF(AND(B1250='111'!$L$11,OR($N1250=$Q$7,$O1250=$Q$7)),"x","")</f>
        <v/>
      </c>
      <c r="R1250" s="47" t="str">
        <f>IF(AND($N1250=$Q$7,$B1250&lt;'111'!$L$11),"x","")</f>
        <v/>
      </c>
      <c r="S1250" s="47" t="str">
        <f>IF(AND($O1250=$Q$7,$B1250&lt;'111'!$L$11),"x","")</f>
        <v>x</v>
      </c>
    </row>
    <row r="1251" spans="1:19" ht="15.75" customHeight="1">
      <c r="A1251" s="152" t="str">
        <f>IF(B1251&lt;&gt;"",IF(AND(B1251='IN-TC'!$S$4,OR(TH!N1251="1111",TH!O1251="1111")),TH!D1251,""),"")</f>
        <v/>
      </c>
      <c r="B1251" s="34">
        <f t="shared" si="43"/>
        <v>8</v>
      </c>
      <c r="C1251" s="35">
        <f t="shared" si="44"/>
        <v>42586</v>
      </c>
      <c r="D1251" s="212" t="s">
        <v>872</v>
      </c>
      <c r="E1251" s="35">
        <v>42586</v>
      </c>
      <c r="F1251" s="144" t="s">
        <v>857</v>
      </c>
      <c r="G1251" s="191" t="s">
        <v>104</v>
      </c>
      <c r="H1251" s="198"/>
      <c r="I1251" s="186"/>
      <c r="J1251" s="186"/>
      <c r="K1251" s="185"/>
      <c r="L1251" s="186"/>
      <c r="M1251" s="36">
        <v>170000000</v>
      </c>
      <c r="N1251" s="37"/>
      <c r="O1251" s="37" t="s">
        <v>34</v>
      </c>
      <c r="P1251" s="47" t="str">
        <f>IF(AND('331-CT'!$F$5=TH!H1251,OR(N1251="331",O1251="331")),"x","")</f>
        <v/>
      </c>
      <c r="Q1251" s="47" t="str">
        <f>IF(AND(B1251='111'!$L$11,OR($N1251=$Q$7,$O1251=$Q$7)),"x","")</f>
        <v/>
      </c>
      <c r="R1251" s="47" t="str">
        <f>IF(AND($N1251=$Q$7,$B1251&lt;'111'!$L$11),"x","")</f>
        <v/>
      </c>
      <c r="S1251" s="47" t="str">
        <f>IF(AND($O1251=$Q$7,$B1251&lt;'111'!$L$11),"x","")</f>
        <v>x</v>
      </c>
    </row>
    <row r="1252" spans="1:19" ht="15.75" customHeight="1">
      <c r="A1252" s="152" t="str">
        <f>IF(B1252&lt;&gt;"",IF(AND(B1252='IN-TC'!$S$4,OR(TH!N1252="1111",TH!O1252="1111")),TH!D1252,""),"")</f>
        <v/>
      </c>
      <c r="B1252" s="34">
        <f t="shared" si="43"/>
        <v>8</v>
      </c>
      <c r="C1252" s="35">
        <f t="shared" si="44"/>
        <v>42586</v>
      </c>
      <c r="D1252" s="212" t="s">
        <v>873</v>
      </c>
      <c r="E1252" s="35">
        <v>42586</v>
      </c>
      <c r="F1252" s="144" t="s">
        <v>1076</v>
      </c>
      <c r="G1252" s="191"/>
      <c r="H1252" s="198"/>
      <c r="I1252" s="186"/>
      <c r="J1252" s="186"/>
      <c r="K1252" s="185"/>
      <c r="L1252" s="186"/>
      <c r="M1252" s="36">
        <v>1200000</v>
      </c>
      <c r="N1252" s="37"/>
      <c r="O1252" s="37" t="s">
        <v>34</v>
      </c>
      <c r="P1252" s="47" t="str">
        <f>IF(AND('331-CT'!$F$5=TH!H1252,OR(N1252="331",O1252="331")),"x","")</f>
        <v/>
      </c>
      <c r="Q1252" s="47" t="str">
        <f>IF(AND(B1252='111'!$L$11,OR($N1252=$Q$7,$O1252=$Q$7)),"x","")</f>
        <v/>
      </c>
      <c r="R1252" s="47" t="str">
        <f>IF(AND($N1252=$Q$7,$B1252&lt;'111'!$L$11),"x","")</f>
        <v/>
      </c>
      <c r="S1252" s="47" t="str">
        <f>IF(AND($O1252=$Q$7,$B1252&lt;'111'!$L$11),"x","")</f>
        <v>x</v>
      </c>
    </row>
    <row r="1253" spans="1:19" ht="15.75" customHeight="1">
      <c r="A1253" s="152" t="str">
        <f>IF(B1253&lt;&gt;"",IF(AND(B1253='IN-TC'!$S$4,OR(TH!N1253="1111",TH!O1253="1111")),TH!D1253,""),"")</f>
        <v/>
      </c>
      <c r="B1253" s="34">
        <f t="shared" si="43"/>
        <v>8</v>
      </c>
      <c r="C1253" s="35">
        <f t="shared" si="44"/>
        <v>42586</v>
      </c>
      <c r="D1253" s="212" t="s">
        <v>938</v>
      </c>
      <c r="E1253" s="35">
        <v>42586</v>
      </c>
      <c r="F1253" s="144" t="s">
        <v>1019</v>
      </c>
      <c r="G1253" s="191" t="s">
        <v>104</v>
      </c>
      <c r="H1253" s="198"/>
      <c r="I1253" s="186"/>
      <c r="J1253" s="186"/>
      <c r="K1253" s="185"/>
      <c r="L1253" s="186"/>
      <c r="M1253" s="36">
        <v>1189000000</v>
      </c>
      <c r="N1253" s="37" t="s">
        <v>34</v>
      </c>
      <c r="O1253" s="37"/>
      <c r="P1253" s="47" t="str">
        <f>IF(AND('331-CT'!$F$5=TH!H1253,OR(N1253="331",O1253="331")),"x","")</f>
        <v/>
      </c>
      <c r="Q1253" s="47" t="str">
        <f>IF(AND(B1253='111'!$L$11,OR($N1253=$Q$7,$O1253=$Q$7)),"x","")</f>
        <v/>
      </c>
      <c r="R1253" s="47" t="str">
        <f>IF(AND($N1253=$Q$7,$B1253&lt;'111'!$L$11),"x","")</f>
        <v>x</v>
      </c>
      <c r="S1253" s="47" t="str">
        <f>IF(AND($O1253=$Q$7,$B1253&lt;'111'!$L$11),"x","")</f>
        <v/>
      </c>
    </row>
    <row r="1254" spans="1:19" ht="15.75" customHeight="1">
      <c r="A1254" s="152" t="str">
        <f>IF(B1254&lt;&gt;"",IF(AND(B1254='IN-TC'!$S$4,OR(TH!N1254="1111",TH!O1254="1111")),TH!D1254,""),"")</f>
        <v/>
      </c>
      <c r="B1254" s="34">
        <f t="shared" si="43"/>
        <v>8</v>
      </c>
      <c r="C1254" s="35">
        <f t="shared" si="44"/>
        <v>42586</v>
      </c>
      <c r="D1254" s="212" t="s">
        <v>874</v>
      </c>
      <c r="E1254" s="35">
        <v>42586</v>
      </c>
      <c r="F1254" s="144" t="s">
        <v>850</v>
      </c>
      <c r="G1254" s="191" t="s">
        <v>206</v>
      </c>
      <c r="H1254" s="198" t="s">
        <v>1077</v>
      </c>
      <c r="I1254" s="186"/>
      <c r="J1254" s="186"/>
      <c r="K1254" s="185"/>
      <c r="L1254" s="186"/>
      <c r="M1254" s="36">
        <v>70020000</v>
      </c>
      <c r="N1254" s="37" t="s">
        <v>8</v>
      </c>
      <c r="O1254" s="37" t="s">
        <v>34</v>
      </c>
      <c r="P1254" s="47" t="str">
        <f>IF(AND('331-CT'!$F$5=TH!H1254,OR(N1254="331",O1254="331")),"x","")</f>
        <v/>
      </c>
      <c r="Q1254" s="47" t="str">
        <f>IF(AND(B1254='111'!$L$11,OR($N1254=$Q$7,$O1254=$Q$7)),"x","")</f>
        <v/>
      </c>
      <c r="R1254" s="47" t="str">
        <f>IF(AND($N1254=$Q$7,$B1254&lt;'111'!$L$11),"x","")</f>
        <v/>
      </c>
      <c r="S1254" s="47" t="str">
        <f>IF(AND($O1254=$Q$7,$B1254&lt;'111'!$L$11),"x","")</f>
        <v>x</v>
      </c>
    </row>
    <row r="1255" spans="1:19" ht="15.75" customHeight="1">
      <c r="A1255" s="152" t="str">
        <f>IF(B1255&lt;&gt;"",IF(AND(B1255='IN-TC'!$S$4,OR(TH!N1255="1111",TH!O1255="1111")),TH!D1255,""),"")</f>
        <v/>
      </c>
      <c r="B1255" s="34">
        <f t="shared" si="43"/>
        <v>8</v>
      </c>
      <c r="C1255" s="35">
        <f t="shared" si="44"/>
        <v>42586</v>
      </c>
      <c r="D1255" s="212" t="s">
        <v>875</v>
      </c>
      <c r="E1255" s="35">
        <v>42586</v>
      </c>
      <c r="F1255" s="144" t="s">
        <v>850</v>
      </c>
      <c r="G1255" s="191" t="s">
        <v>206</v>
      </c>
      <c r="H1255" s="198" t="s">
        <v>815</v>
      </c>
      <c r="I1255" s="186"/>
      <c r="J1255" s="186"/>
      <c r="K1255" s="185"/>
      <c r="L1255" s="186"/>
      <c r="M1255" s="36">
        <v>150000000</v>
      </c>
      <c r="N1255" s="37" t="s">
        <v>8</v>
      </c>
      <c r="O1255" s="37" t="s">
        <v>34</v>
      </c>
      <c r="P1255" s="47" t="str">
        <f>IF(AND('331-CT'!$F$5=TH!H1255,OR(N1255="331",O1255="331")),"x","")</f>
        <v/>
      </c>
      <c r="Q1255" s="47" t="str">
        <f>IF(AND(B1255='111'!$L$11,OR($N1255=$Q$7,$O1255=$Q$7)),"x","")</f>
        <v/>
      </c>
      <c r="R1255" s="47" t="str">
        <f>IF(AND($N1255=$Q$7,$B1255&lt;'111'!$L$11),"x","")</f>
        <v/>
      </c>
      <c r="S1255" s="47" t="str">
        <f>IF(AND($O1255=$Q$7,$B1255&lt;'111'!$L$11),"x","")</f>
        <v>x</v>
      </c>
    </row>
    <row r="1256" spans="1:19" ht="15.75" customHeight="1">
      <c r="A1256" s="152" t="str">
        <f>IF(B1256&lt;&gt;"",IF(AND(B1256='IN-TC'!$S$4,OR(TH!N1256="1111",TH!O1256="1111")),TH!D1256,""),"")</f>
        <v/>
      </c>
      <c r="B1256" s="34">
        <f t="shared" si="43"/>
        <v>8</v>
      </c>
      <c r="C1256" s="35">
        <f t="shared" si="44"/>
        <v>42586</v>
      </c>
      <c r="D1256" s="212" t="s">
        <v>876</v>
      </c>
      <c r="E1256" s="35">
        <v>42586</v>
      </c>
      <c r="F1256" s="144" t="s">
        <v>850</v>
      </c>
      <c r="G1256" s="191" t="s">
        <v>206</v>
      </c>
      <c r="H1256" s="198" t="s">
        <v>816</v>
      </c>
      <c r="I1256" s="186"/>
      <c r="J1256" s="186"/>
      <c r="K1256" s="185"/>
      <c r="L1256" s="186"/>
      <c r="M1256" s="36">
        <v>50017000</v>
      </c>
      <c r="N1256" s="37" t="s">
        <v>8</v>
      </c>
      <c r="O1256" s="37" t="s">
        <v>34</v>
      </c>
      <c r="P1256" s="47" t="str">
        <f>IF(AND('331-CT'!$F$5=TH!H1256,OR(N1256="331",O1256="331")),"x","")</f>
        <v/>
      </c>
      <c r="Q1256" s="47" t="str">
        <f>IF(AND(B1256='111'!$L$11,OR($N1256=$Q$7,$O1256=$Q$7)),"x","")</f>
        <v/>
      </c>
      <c r="R1256" s="47" t="str">
        <f>IF(AND($N1256=$Q$7,$B1256&lt;'111'!$L$11),"x","")</f>
        <v/>
      </c>
      <c r="S1256" s="47" t="str">
        <f>IF(AND($O1256=$Q$7,$B1256&lt;'111'!$L$11),"x","")</f>
        <v>x</v>
      </c>
    </row>
    <row r="1257" spans="1:19" ht="15.75" customHeight="1">
      <c r="A1257" s="152" t="str">
        <f>IF(B1257&lt;&gt;"",IF(AND(B1257='IN-TC'!$S$4,OR(TH!N1257="1111",TH!O1257="1111")),TH!D1257,""),"")</f>
        <v/>
      </c>
      <c r="B1257" s="34">
        <f t="shared" si="43"/>
        <v>8</v>
      </c>
      <c r="C1257" s="35">
        <f t="shared" si="44"/>
        <v>42586</v>
      </c>
      <c r="D1257" s="212" t="s">
        <v>877</v>
      </c>
      <c r="E1257" s="35">
        <v>42586</v>
      </c>
      <c r="F1257" s="144" t="s">
        <v>850</v>
      </c>
      <c r="G1257" s="191" t="s">
        <v>206</v>
      </c>
      <c r="H1257" s="198" t="s">
        <v>843</v>
      </c>
      <c r="I1257" s="186"/>
      <c r="J1257" s="186"/>
      <c r="K1257" s="185"/>
      <c r="L1257" s="186"/>
      <c r="M1257" s="36">
        <v>106104000</v>
      </c>
      <c r="N1257" s="37" t="s">
        <v>8</v>
      </c>
      <c r="O1257" s="37" t="s">
        <v>34</v>
      </c>
      <c r="P1257" s="47" t="str">
        <f>IF(AND('331-CT'!$F$5=TH!H1257,OR(N1257="331",O1257="331")),"x","")</f>
        <v/>
      </c>
      <c r="Q1257" s="47" t="str">
        <f>IF(AND(B1257='111'!$L$11,OR($N1257=$Q$7,$O1257=$Q$7)),"x","")</f>
        <v/>
      </c>
      <c r="R1257" s="47" t="str">
        <f>IF(AND($N1257=$Q$7,$B1257&lt;'111'!$L$11),"x","")</f>
        <v/>
      </c>
      <c r="S1257" s="47" t="str">
        <f>IF(AND($O1257=$Q$7,$B1257&lt;'111'!$L$11),"x","")</f>
        <v>x</v>
      </c>
    </row>
    <row r="1258" spans="1:19" ht="15.75" customHeight="1">
      <c r="A1258" s="152" t="str">
        <f>IF(B1258&lt;&gt;"",IF(AND(B1258='IN-TC'!$S$4,OR(TH!N1258="1111",TH!O1258="1111")),TH!D1258,""),"")</f>
        <v/>
      </c>
      <c r="B1258" s="34">
        <f t="shared" si="43"/>
        <v>8</v>
      </c>
      <c r="C1258" s="35">
        <f t="shared" si="44"/>
        <v>42586</v>
      </c>
      <c r="D1258" s="212" t="s">
        <v>877</v>
      </c>
      <c r="E1258" s="35">
        <v>42586</v>
      </c>
      <c r="F1258" s="144" t="s">
        <v>1424</v>
      </c>
      <c r="G1258" s="191"/>
      <c r="H1258" s="198"/>
      <c r="I1258" s="186"/>
      <c r="J1258" s="186"/>
      <c r="K1258" s="185"/>
      <c r="L1258" s="186"/>
      <c r="M1258" s="36">
        <v>32000</v>
      </c>
      <c r="N1258" s="37" t="s">
        <v>1425</v>
      </c>
      <c r="O1258" s="37" t="s">
        <v>34</v>
      </c>
      <c r="P1258" s="47" t="str">
        <f>IF(AND('331-CT'!$F$5=TH!H1258,OR(N1258="331",O1258="331")),"x","")</f>
        <v/>
      </c>
      <c r="Q1258" s="47" t="str">
        <f>IF(AND(B1258='111'!$L$11,OR($N1258=$Q$7,$O1258=$Q$7)),"x","")</f>
        <v/>
      </c>
      <c r="R1258" s="47" t="str">
        <f>IF(AND($N1258=$Q$7,$B1258&lt;'111'!$L$11),"x","")</f>
        <v/>
      </c>
      <c r="S1258" s="47" t="str">
        <f>IF(AND($O1258=$Q$7,$B1258&lt;'111'!$L$11),"x","")</f>
        <v>x</v>
      </c>
    </row>
    <row r="1259" spans="1:19" ht="15.75" customHeight="1">
      <c r="A1259" s="152" t="str">
        <f>IF(B1259&lt;&gt;"",IF(AND(B1259='IN-TC'!$S$4,OR(TH!N1259="1111",TH!O1259="1111")),TH!D1259,""),"")</f>
        <v/>
      </c>
      <c r="B1259" s="34">
        <f t="shared" si="43"/>
        <v>8</v>
      </c>
      <c r="C1259" s="35">
        <f t="shared" si="44"/>
        <v>42586</v>
      </c>
      <c r="D1259" s="212" t="s">
        <v>878</v>
      </c>
      <c r="E1259" s="35">
        <v>42586</v>
      </c>
      <c r="F1259" s="144" t="s">
        <v>1398</v>
      </c>
      <c r="G1259" s="191" t="s">
        <v>206</v>
      </c>
      <c r="H1259" s="198" t="s">
        <v>1044</v>
      </c>
      <c r="I1259" s="186"/>
      <c r="J1259" s="186"/>
      <c r="K1259" s="185"/>
      <c r="L1259" s="186"/>
      <c r="M1259" s="36">
        <v>150000000</v>
      </c>
      <c r="N1259" s="37" t="s">
        <v>8</v>
      </c>
      <c r="O1259" s="37" t="s">
        <v>34</v>
      </c>
      <c r="P1259" s="47" t="str">
        <f>IF(AND('331-CT'!$F$5=TH!H1259,OR(N1259="331",O1259="331")),"x","")</f>
        <v/>
      </c>
      <c r="Q1259" s="47" t="str">
        <f>IF(AND(B1259='111'!$L$11,OR($N1259=$Q$7,$O1259=$Q$7)),"x","")</f>
        <v/>
      </c>
      <c r="R1259" s="47" t="str">
        <f>IF(AND($N1259=$Q$7,$B1259&lt;'111'!$L$11),"x","")</f>
        <v/>
      </c>
      <c r="S1259" s="47" t="str">
        <f>IF(AND($O1259=$Q$7,$B1259&lt;'111'!$L$11),"x","")</f>
        <v>x</v>
      </c>
    </row>
    <row r="1260" spans="1:19" ht="15.75" customHeight="1">
      <c r="A1260" s="152" t="str">
        <f>IF(B1260&lt;&gt;"",IF(AND(B1260='IN-TC'!$S$4,OR(TH!N1260="1111",TH!O1260="1111")),TH!D1260,""),"")</f>
        <v/>
      </c>
      <c r="B1260" s="34">
        <f t="shared" si="43"/>
        <v>8</v>
      </c>
      <c r="C1260" s="35">
        <f t="shared" si="44"/>
        <v>42586</v>
      </c>
      <c r="D1260" s="212" t="s">
        <v>879</v>
      </c>
      <c r="E1260" s="35">
        <v>42586</v>
      </c>
      <c r="F1260" s="144" t="s">
        <v>850</v>
      </c>
      <c r="G1260" s="191" t="s">
        <v>206</v>
      </c>
      <c r="H1260" s="198" t="s">
        <v>832</v>
      </c>
      <c r="I1260" s="186"/>
      <c r="J1260" s="186"/>
      <c r="K1260" s="185"/>
      <c r="L1260" s="186"/>
      <c r="M1260" s="36">
        <v>70998000</v>
      </c>
      <c r="N1260" s="37" t="s">
        <v>8</v>
      </c>
      <c r="O1260" s="37" t="s">
        <v>34</v>
      </c>
      <c r="P1260" s="47" t="str">
        <f>IF(AND('331-CT'!$F$5=TH!H1260,OR(N1260="331",O1260="331")),"x","")</f>
        <v/>
      </c>
      <c r="Q1260" s="47" t="str">
        <f>IF(AND(B1260='111'!$L$11,OR($N1260=$Q$7,$O1260=$Q$7)),"x","")</f>
        <v/>
      </c>
      <c r="R1260" s="47" t="str">
        <f>IF(AND($N1260=$Q$7,$B1260&lt;'111'!$L$11),"x","")</f>
        <v/>
      </c>
      <c r="S1260" s="47" t="str">
        <f>IF(AND($O1260=$Q$7,$B1260&lt;'111'!$L$11),"x","")</f>
        <v>x</v>
      </c>
    </row>
    <row r="1261" spans="1:19" ht="15.75" customHeight="1">
      <c r="A1261" s="152" t="str">
        <f>IF(B1261&lt;&gt;"",IF(AND(B1261='IN-TC'!$S$4,OR(TH!N1261="1111",TH!O1261="1111")),TH!D1261,""),"")</f>
        <v/>
      </c>
      <c r="B1261" s="34">
        <f t="shared" si="43"/>
        <v>8</v>
      </c>
      <c r="C1261" s="35">
        <f t="shared" si="44"/>
        <v>42586</v>
      </c>
      <c r="D1261" s="212" t="s">
        <v>880</v>
      </c>
      <c r="E1261" s="35">
        <v>42586</v>
      </c>
      <c r="F1261" s="144" t="s">
        <v>850</v>
      </c>
      <c r="G1261" s="191" t="s">
        <v>206</v>
      </c>
      <c r="H1261" s="198" t="s">
        <v>1078</v>
      </c>
      <c r="I1261" s="186"/>
      <c r="J1261" s="186"/>
      <c r="K1261" s="185"/>
      <c r="L1261" s="186"/>
      <c r="M1261" s="36">
        <v>10810000</v>
      </c>
      <c r="N1261" s="37" t="s">
        <v>8</v>
      </c>
      <c r="O1261" s="37" t="s">
        <v>34</v>
      </c>
      <c r="P1261" s="47" t="str">
        <f>IF(AND('331-CT'!$F$5=TH!H1261,OR(N1261="331",O1261="331")),"x","")</f>
        <v/>
      </c>
      <c r="Q1261" s="47" t="str">
        <f>IF(AND(B1261='111'!$L$11,OR($N1261=$Q$7,$O1261=$Q$7)),"x","")</f>
        <v/>
      </c>
      <c r="R1261" s="47" t="str">
        <f>IF(AND($N1261=$Q$7,$B1261&lt;'111'!$L$11),"x","")</f>
        <v/>
      </c>
      <c r="S1261" s="47" t="str">
        <f>IF(AND($O1261=$Q$7,$B1261&lt;'111'!$L$11),"x","")</f>
        <v>x</v>
      </c>
    </row>
    <row r="1262" spans="1:19" ht="15.75" customHeight="1">
      <c r="A1262" s="152" t="str">
        <f>IF(B1262&lt;&gt;"",IF(AND(B1262='IN-TC'!$S$4,OR(TH!N1262="1111",TH!O1262="1111")),TH!D1262,""),"")</f>
        <v/>
      </c>
      <c r="B1262" s="34">
        <f t="shared" si="43"/>
        <v>8</v>
      </c>
      <c r="C1262" s="35">
        <f t="shared" si="44"/>
        <v>42586</v>
      </c>
      <c r="D1262" s="212" t="s">
        <v>881</v>
      </c>
      <c r="E1262" s="35">
        <v>42586</v>
      </c>
      <c r="F1262" s="144" t="s">
        <v>850</v>
      </c>
      <c r="G1262" s="191" t="s">
        <v>206</v>
      </c>
      <c r="H1262" s="198" t="s">
        <v>1079</v>
      </c>
      <c r="I1262" s="186"/>
      <c r="J1262" s="186"/>
      <c r="K1262" s="185"/>
      <c r="L1262" s="186"/>
      <c r="M1262" s="36">
        <v>74875000</v>
      </c>
      <c r="N1262" s="37" t="s">
        <v>8</v>
      </c>
      <c r="O1262" s="37" t="s">
        <v>34</v>
      </c>
      <c r="P1262" s="47" t="str">
        <f>IF(AND('331-CT'!$F$5=TH!H1262,OR(N1262="331",O1262="331")),"x","")</f>
        <v/>
      </c>
      <c r="Q1262" s="47" t="str">
        <f>IF(AND(B1262='111'!$L$11,OR($N1262=$Q$7,$O1262=$Q$7)),"x","")</f>
        <v/>
      </c>
      <c r="R1262" s="47" t="str">
        <f>IF(AND($N1262=$Q$7,$B1262&lt;'111'!$L$11),"x","")</f>
        <v/>
      </c>
      <c r="S1262" s="47" t="str">
        <f>IF(AND($O1262=$Q$7,$B1262&lt;'111'!$L$11),"x","")</f>
        <v>x</v>
      </c>
    </row>
    <row r="1263" spans="1:19" ht="15.75" customHeight="1">
      <c r="A1263" s="152" t="str">
        <f>IF(B1263&lt;&gt;"",IF(AND(B1263='IN-TC'!$S$4,OR(TH!N1263="1111",TH!O1263="1111")),TH!D1263,""),"")</f>
        <v/>
      </c>
      <c r="B1263" s="34">
        <f t="shared" si="43"/>
        <v>8</v>
      </c>
      <c r="C1263" s="35">
        <f t="shared" si="44"/>
        <v>42586</v>
      </c>
      <c r="D1263" s="212" t="s">
        <v>882</v>
      </c>
      <c r="E1263" s="35">
        <v>42586</v>
      </c>
      <c r="F1263" s="144" t="s">
        <v>850</v>
      </c>
      <c r="G1263" s="191" t="s">
        <v>206</v>
      </c>
      <c r="H1263" s="198" t="s">
        <v>839</v>
      </c>
      <c r="I1263" s="186"/>
      <c r="J1263" s="186"/>
      <c r="K1263" s="185"/>
      <c r="L1263" s="186"/>
      <c r="M1263" s="36">
        <v>54137000</v>
      </c>
      <c r="N1263" s="37" t="s">
        <v>8</v>
      </c>
      <c r="O1263" s="37" t="s">
        <v>34</v>
      </c>
      <c r="P1263" s="47" t="str">
        <f>IF(AND('331-CT'!$F$5=TH!H1263,OR(N1263="331",O1263="331")),"x","")</f>
        <v/>
      </c>
      <c r="Q1263" s="47" t="str">
        <f>IF(AND(B1263='111'!$L$11,OR($N1263=$Q$7,$O1263=$Q$7)),"x","")</f>
        <v/>
      </c>
      <c r="R1263" s="47" t="str">
        <f>IF(AND($N1263=$Q$7,$B1263&lt;'111'!$L$11),"x","")</f>
        <v/>
      </c>
      <c r="S1263" s="47" t="str">
        <f>IF(AND($O1263=$Q$7,$B1263&lt;'111'!$L$11),"x","")</f>
        <v>x</v>
      </c>
    </row>
    <row r="1264" spans="1:19" ht="15.75" customHeight="1">
      <c r="A1264" s="152" t="str">
        <f>IF(B1264&lt;&gt;"",IF(AND(B1264='IN-TC'!$S$4,OR(TH!N1264="1111",TH!O1264="1111")),TH!D1264,""),"")</f>
        <v/>
      </c>
      <c r="B1264" s="34">
        <f t="shared" si="43"/>
        <v>8</v>
      </c>
      <c r="C1264" s="35">
        <f t="shared" si="44"/>
        <v>42586</v>
      </c>
      <c r="D1264" s="212" t="s">
        <v>883</v>
      </c>
      <c r="E1264" s="35">
        <v>42586</v>
      </c>
      <c r="F1264" s="144" t="s">
        <v>1080</v>
      </c>
      <c r="G1264" s="191" t="s">
        <v>104</v>
      </c>
      <c r="H1264" s="198"/>
      <c r="I1264" s="186"/>
      <c r="J1264" s="186"/>
      <c r="K1264" s="185"/>
      <c r="L1264" s="186"/>
      <c r="M1264" s="36">
        <v>160000000</v>
      </c>
      <c r="N1264" s="37"/>
      <c r="O1264" s="37" t="s">
        <v>34</v>
      </c>
      <c r="P1264" s="47" t="str">
        <f>IF(AND('331-CT'!$F$5=TH!H1264,OR(N1264="331",O1264="331")),"x","")</f>
        <v/>
      </c>
      <c r="Q1264" s="47" t="str">
        <f>IF(AND(B1264='111'!$L$11,OR($N1264=$Q$7,$O1264=$Q$7)),"x","")</f>
        <v/>
      </c>
      <c r="R1264" s="47" t="str">
        <f>IF(AND($N1264=$Q$7,$B1264&lt;'111'!$L$11),"x","")</f>
        <v/>
      </c>
      <c r="S1264" s="47" t="str">
        <f>IF(AND($O1264=$Q$7,$B1264&lt;'111'!$L$11),"x","")</f>
        <v>x</v>
      </c>
    </row>
    <row r="1265" spans="1:19" ht="15.75" customHeight="1">
      <c r="A1265" s="152" t="str">
        <f>IF(B1265&lt;&gt;"",IF(AND(B1265='IN-TC'!$S$4,OR(TH!N1265="1111",TH!O1265="1111")),TH!D1265,""),"")</f>
        <v/>
      </c>
      <c r="B1265" s="34">
        <f t="shared" si="43"/>
        <v>8</v>
      </c>
      <c r="C1265" s="35">
        <f t="shared" si="44"/>
        <v>42586</v>
      </c>
      <c r="D1265" s="212" t="s">
        <v>884</v>
      </c>
      <c r="E1265" s="35">
        <v>42586</v>
      </c>
      <c r="F1265" s="144" t="s">
        <v>1058</v>
      </c>
      <c r="G1265" s="191" t="s">
        <v>204</v>
      </c>
      <c r="H1265" s="198"/>
      <c r="I1265" s="186"/>
      <c r="J1265" s="186"/>
      <c r="K1265" s="185"/>
      <c r="L1265" s="186"/>
      <c r="M1265" s="36">
        <v>10000000</v>
      </c>
      <c r="N1265" s="37"/>
      <c r="O1265" s="37" t="s">
        <v>34</v>
      </c>
      <c r="P1265" s="47" t="str">
        <f>IF(AND('331-CT'!$F$5=TH!H1265,OR(N1265="331",O1265="331")),"x","")</f>
        <v/>
      </c>
      <c r="Q1265" s="47" t="str">
        <f>IF(AND(B1265='111'!$L$11,OR($N1265=$Q$7,$O1265=$Q$7)),"x","")</f>
        <v/>
      </c>
      <c r="R1265" s="47" t="str">
        <f>IF(AND($N1265=$Q$7,$B1265&lt;'111'!$L$11),"x","")</f>
        <v/>
      </c>
      <c r="S1265" s="47" t="str">
        <f>IF(AND($O1265=$Q$7,$B1265&lt;'111'!$L$11),"x","")</f>
        <v>x</v>
      </c>
    </row>
    <row r="1266" spans="1:19" ht="15.75" customHeight="1">
      <c r="A1266" s="152" t="str">
        <f>IF(B1266&lt;&gt;"",IF(AND(B1266='IN-TC'!$S$4,OR(TH!N1266="1111",TH!O1266="1111")),TH!D1266,""),"")</f>
        <v/>
      </c>
      <c r="B1266" s="34">
        <f t="shared" si="43"/>
        <v>8</v>
      </c>
      <c r="C1266" s="35">
        <f t="shared" si="44"/>
        <v>42586</v>
      </c>
      <c r="D1266" s="212"/>
      <c r="E1266" s="35">
        <v>42586</v>
      </c>
      <c r="F1266" s="144" t="s">
        <v>1467</v>
      </c>
      <c r="G1266" s="191"/>
      <c r="H1266" s="198" t="s">
        <v>831</v>
      </c>
      <c r="I1266" s="186">
        <v>1060</v>
      </c>
      <c r="J1266" s="186">
        <v>12000</v>
      </c>
      <c r="K1266" s="185"/>
      <c r="L1266" s="186"/>
      <c r="M1266" s="36">
        <f>ROUND(I1266*J1266,0)</f>
        <v>12720000</v>
      </c>
      <c r="N1266" s="37" t="s">
        <v>1443</v>
      </c>
      <c r="O1266" s="37" t="s">
        <v>8</v>
      </c>
      <c r="P1266" s="47" t="str">
        <f>IF(AND('331-CT'!$F$5=TH!H1266,OR(N1266="331",O1266="331")),"x","")</f>
        <v/>
      </c>
      <c r="Q1266" s="47" t="str">
        <f>IF(AND(B1266='111'!$L$11,OR($N1266=$Q$7,$O1266=$Q$7)),"x","")</f>
        <v/>
      </c>
      <c r="R1266" s="47" t="str">
        <f>IF(AND($N1266=$Q$7,$B1266&lt;'111'!$L$11),"x","")</f>
        <v/>
      </c>
      <c r="S1266" s="47" t="str">
        <f>IF(AND($O1266=$Q$7,$B1266&lt;'111'!$L$11),"x","")</f>
        <v/>
      </c>
    </row>
    <row r="1267" spans="1:19" ht="15.75" customHeight="1">
      <c r="A1267" s="152" t="str">
        <f>IF(B1267&lt;&gt;"",IF(AND(B1267='IN-TC'!$S$4,OR(TH!N1267="1111",TH!O1267="1111")),TH!D1267,""),"")</f>
        <v/>
      </c>
      <c r="B1267" s="34">
        <f t="shared" si="43"/>
        <v>8</v>
      </c>
      <c r="C1267" s="35">
        <f t="shared" si="44"/>
        <v>42586</v>
      </c>
      <c r="D1267" s="212"/>
      <c r="E1267" s="35">
        <v>42586</v>
      </c>
      <c r="F1267" s="144" t="s">
        <v>1476</v>
      </c>
      <c r="G1267" s="191" t="s">
        <v>1480</v>
      </c>
      <c r="H1267" s="198" t="s">
        <v>843</v>
      </c>
      <c r="I1267" s="186">
        <v>825</v>
      </c>
      <c r="J1267" s="186">
        <v>37000</v>
      </c>
      <c r="K1267" s="185"/>
      <c r="L1267" s="186"/>
      <c r="M1267" s="36">
        <f>ROUND(I1267*J1267,0)</f>
        <v>30525000</v>
      </c>
      <c r="N1267" s="37" t="s">
        <v>1443</v>
      </c>
      <c r="O1267" s="37" t="s">
        <v>8</v>
      </c>
      <c r="P1267" s="47" t="str">
        <f>IF(AND('331-CT'!$F$5=TH!H1267,OR(N1267="331",O1267="331")),"x","")</f>
        <v/>
      </c>
      <c r="Q1267" s="47" t="str">
        <f>IF(AND(B1267='111'!$L$11,OR($N1267=$Q$7,$O1267=$Q$7)),"x","")</f>
        <v/>
      </c>
      <c r="R1267" s="47" t="str">
        <f>IF(AND($N1267=$Q$7,$B1267&lt;'111'!$L$11),"x","")</f>
        <v/>
      </c>
      <c r="S1267" s="47" t="str">
        <f>IF(AND($O1267=$Q$7,$B1267&lt;'111'!$L$11),"x","")</f>
        <v/>
      </c>
    </row>
    <row r="1268" spans="1:19" ht="15.75" customHeight="1">
      <c r="A1268" s="152" t="str">
        <f>IF(B1268&lt;&gt;"",IF(AND(B1268='IN-TC'!$S$4,OR(TH!N1268="1111",TH!O1268="1111")),TH!D1268,""),"")</f>
        <v/>
      </c>
      <c r="B1268" s="34">
        <f t="shared" si="43"/>
        <v>8</v>
      </c>
      <c r="C1268" s="35">
        <f t="shared" si="44"/>
        <v>42586</v>
      </c>
      <c r="D1268" s="212"/>
      <c r="E1268" s="35">
        <v>42586</v>
      </c>
      <c r="F1268" s="144" t="s">
        <v>1519</v>
      </c>
      <c r="G1268" s="191"/>
      <c r="H1268" s="198" t="s">
        <v>848</v>
      </c>
      <c r="I1268" s="186"/>
      <c r="J1268" s="186"/>
      <c r="K1268" s="185"/>
      <c r="L1268" s="186"/>
      <c r="M1268" s="36">
        <v>10810000</v>
      </c>
      <c r="N1268" s="37" t="s">
        <v>8</v>
      </c>
      <c r="O1268" s="37" t="s">
        <v>1457</v>
      </c>
      <c r="P1268" s="47" t="str">
        <f>IF(AND('331-CT'!$F$5=TH!H1268,OR(N1268="331",O1268="331")),"x","")</f>
        <v/>
      </c>
      <c r="Q1268" s="47" t="str">
        <f>IF(AND(B1268='111'!$L$11,OR($N1268=$Q$7,$O1268=$Q$7)),"x","")</f>
        <v/>
      </c>
      <c r="R1268" s="47" t="str">
        <f>IF(AND($N1268=$Q$7,$B1268&lt;'111'!$L$11),"x","")</f>
        <v/>
      </c>
      <c r="S1268" s="47" t="str">
        <f>IF(AND($O1268=$Q$7,$B1268&lt;'111'!$L$11),"x","")</f>
        <v/>
      </c>
    </row>
    <row r="1269" spans="1:19" ht="15.75" customHeight="1">
      <c r="A1269" s="152" t="str">
        <f>IF(B1269&lt;&gt;"",IF(AND(B1269='IN-TC'!$S$4,OR(TH!N1269="1111",TH!O1269="1111")),TH!D1269,""),"")</f>
        <v/>
      </c>
      <c r="B1269" s="34">
        <f t="shared" si="43"/>
        <v>8</v>
      </c>
      <c r="C1269" s="35">
        <f t="shared" si="44"/>
        <v>42587</v>
      </c>
      <c r="D1269" s="212" t="s">
        <v>939</v>
      </c>
      <c r="E1269" s="35">
        <v>42587</v>
      </c>
      <c r="F1269" s="144" t="s">
        <v>1082</v>
      </c>
      <c r="G1269" s="191" t="s">
        <v>110</v>
      </c>
      <c r="H1269" s="198"/>
      <c r="I1269" s="186"/>
      <c r="J1269" s="186"/>
      <c r="K1269" s="185"/>
      <c r="L1269" s="186"/>
      <c r="M1269" s="36">
        <v>5000000</v>
      </c>
      <c r="N1269" s="37" t="s">
        <v>34</v>
      </c>
      <c r="O1269" s="37"/>
      <c r="P1269" s="47" t="str">
        <f>IF(AND('331-CT'!$F$5=TH!H1269,OR(N1269="331",O1269="331")),"x","")</f>
        <v/>
      </c>
      <c r="Q1269" s="47" t="str">
        <f>IF(AND(B1269='111'!$L$11,OR($N1269=$Q$7,$O1269=$Q$7)),"x","")</f>
        <v/>
      </c>
      <c r="R1269" s="47" t="str">
        <f>IF(AND($N1269=$Q$7,$B1269&lt;'111'!$L$11),"x","")</f>
        <v>x</v>
      </c>
      <c r="S1269" s="47" t="str">
        <f>IF(AND($O1269=$Q$7,$B1269&lt;'111'!$L$11),"x","")</f>
        <v/>
      </c>
    </row>
    <row r="1270" spans="1:19" ht="15.75" customHeight="1">
      <c r="A1270" s="152" t="str">
        <f>IF(B1270&lt;&gt;"",IF(AND(B1270='IN-TC'!$S$4,OR(TH!N1270="1111",TH!O1270="1111")),TH!D1270,""),"")</f>
        <v/>
      </c>
      <c r="B1270" s="34">
        <f t="shared" si="43"/>
        <v>8</v>
      </c>
      <c r="C1270" s="35">
        <f t="shared" si="44"/>
        <v>42587</v>
      </c>
      <c r="D1270" s="212" t="s">
        <v>885</v>
      </c>
      <c r="E1270" s="35">
        <v>42587</v>
      </c>
      <c r="F1270" s="144" t="s">
        <v>1081</v>
      </c>
      <c r="G1270" s="191"/>
      <c r="H1270" s="198"/>
      <c r="I1270" s="186"/>
      <c r="J1270" s="186"/>
      <c r="K1270" s="185"/>
      <c r="L1270" s="186"/>
      <c r="M1270" s="36">
        <v>5655000</v>
      </c>
      <c r="N1270" s="37"/>
      <c r="O1270" s="37" t="s">
        <v>34</v>
      </c>
      <c r="P1270" s="47" t="str">
        <f>IF(AND('331-CT'!$F$5=TH!H1270,OR(N1270="331",O1270="331")),"x","")</f>
        <v/>
      </c>
      <c r="Q1270" s="47" t="str">
        <f>IF(AND(B1270='111'!$L$11,OR($N1270=$Q$7,$O1270=$Q$7)),"x","")</f>
        <v/>
      </c>
      <c r="R1270" s="47" t="str">
        <f>IF(AND($N1270=$Q$7,$B1270&lt;'111'!$L$11),"x","")</f>
        <v/>
      </c>
      <c r="S1270" s="47" t="str">
        <f>IF(AND($O1270=$Q$7,$B1270&lt;'111'!$L$11),"x","")</f>
        <v>x</v>
      </c>
    </row>
    <row r="1271" spans="1:19" ht="15.75" customHeight="1">
      <c r="A1271" s="152" t="str">
        <f>IF(B1271&lt;&gt;"",IF(AND(B1271='IN-TC'!$S$4,OR(TH!N1271="1111",TH!O1271="1111")),TH!D1271,""),"")</f>
        <v/>
      </c>
      <c r="B1271" s="34">
        <f t="shared" si="43"/>
        <v>8</v>
      </c>
      <c r="C1271" s="35">
        <f t="shared" si="44"/>
        <v>42587</v>
      </c>
      <c r="D1271" s="212" t="s">
        <v>886</v>
      </c>
      <c r="E1271" s="35">
        <v>42587</v>
      </c>
      <c r="F1271" s="144" t="s">
        <v>1028</v>
      </c>
      <c r="G1271" s="191" t="s">
        <v>110</v>
      </c>
      <c r="H1271" s="198"/>
      <c r="I1271" s="186"/>
      <c r="J1271" s="186"/>
      <c r="K1271" s="185"/>
      <c r="L1271" s="186"/>
      <c r="M1271" s="36">
        <v>5000000</v>
      </c>
      <c r="N1271" s="37"/>
      <c r="O1271" s="37" t="s">
        <v>34</v>
      </c>
      <c r="P1271" s="47" t="str">
        <f>IF(AND('331-CT'!$F$5=TH!H1271,OR(N1271="331",O1271="331")),"x","")</f>
        <v/>
      </c>
      <c r="Q1271" s="47" t="str">
        <f>IF(AND(B1271='111'!$L$11,OR($N1271=$Q$7,$O1271=$Q$7)),"x","")</f>
        <v/>
      </c>
      <c r="R1271" s="47" t="str">
        <f>IF(AND($N1271=$Q$7,$B1271&lt;'111'!$L$11),"x","")</f>
        <v/>
      </c>
      <c r="S1271" s="47" t="str">
        <f>IF(AND($O1271=$Q$7,$B1271&lt;'111'!$L$11),"x","")</f>
        <v>x</v>
      </c>
    </row>
    <row r="1272" spans="1:19" ht="15.75" customHeight="1">
      <c r="A1272" s="152" t="str">
        <f>IF(B1272&lt;&gt;"",IF(AND(B1272='IN-TC'!$S$4,OR(TH!N1272="1111",TH!O1272="1111")),TH!D1272,""),"")</f>
        <v/>
      </c>
      <c r="B1272" s="34">
        <f t="shared" si="43"/>
        <v>8</v>
      </c>
      <c r="C1272" s="35">
        <f t="shared" si="44"/>
        <v>42587</v>
      </c>
      <c r="D1272" s="212" t="s">
        <v>887</v>
      </c>
      <c r="E1272" s="35">
        <v>42587</v>
      </c>
      <c r="F1272" s="144" t="s">
        <v>736</v>
      </c>
      <c r="G1272" s="191"/>
      <c r="H1272" s="198"/>
      <c r="I1272" s="186"/>
      <c r="J1272" s="186"/>
      <c r="K1272" s="185"/>
      <c r="L1272" s="186"/>
      <c r="M1272" s="36">
        <v>3845000</v>
      </c>
      <c r="N1272" s="37"/>
      <c r="O1272" s="37" t="s">
        <v>34</v>
      </c>
      <c r="P1272" s="47" t="str">
        <f>IF(AND('331-CT'!$F$5=TH!H1272,OR(N1272="331",O1272="331")),"x","")</f>
        <v/>
      </c>
      <c r="Q1272" s="47" t="str">
        <f>IF(AND(B1272='111'!$L$11,OR($N1272=$Q$7,$O1272=$Q$7)),"x","")</f>
        <v/>
      </c>
      <c r="R1272" s="47" t="str">
        <f>IF(AND($N1272=$Q$7,$B1272&lt;'111'!$L$11),"x","")</f>
        <v/>
      </c>
      <c r="S1272" s="47" t="str">
        <f>IF(AND($O1272=$Q$7,$B1272&lt;'111'!$L$11),"x","")</f>
        <v>x</v>
      </c>
    </row>
    <row r="1273" spans="1:19" ht="15.75" customHeight="1">
      <c r="A1273" s="152" t="str">
        <f>IF(B1273&lt;&gt;"",IF(AND(B1273='IN-TC'!$S$4,OR(TH!N1273="1111",TH!O1273="1111")),TH!D1273,""),"")</f>
        <v/>
      </c>
      <c r="B1273" s="34">
        <f t="shared" si="43"/>
        <v>8</v>
      </c>
      <c r="C1273" s="35">
        <f t="shared" si="44"/>
        <v>42587</v>
      </c>
      <c r="D1273" s="212" t="s">
        <v>888</v>
      </c>
      <c r="E1273" s="35">
        <v>42587</v>
      </c>
      <c r="F1273" s="144" t="s">
        <v>1083</v>
      </c>
      <c r="G1273" s="191"/>
      <c r="H1273" s="198"/>
      <c r="I1273" s="186"/>
      <c r="J1273" s="186"/>
      <c r="K1273" s="185"/>
      <c r="L1273" s="186"/>
      <c r="M1273" s="36">
        <v>150000</v>
      </c>
      <c r="N1273" s="37"/>
      <c r="O1273" s="37" t="s">
        <v>34</v>
      </c>
      <c r="P1273" s="47" t="str">
        <f>IF(AND('331-CT'!$F$5=TH!H1273,OR(N1273="331",O1273="331")),"x","")</f>
        <v/>
      </c>
      <c r="Q1273" s="47" t="str">
        <f>IF(AND(B1273='111'!$L$11,OR($N1273=$Q$7,$O1273=$Q$7)),"x","")</f>
        <v/>
      </c>
      <c r="R1273" s="47" t="str">
        <f>IF(AND($N1273=$Q$7,$B1273&lt;'111'!$L$11),"x","")</f>
        <v/>
      </c>
      <c r="S1273" s="47" t="str">
        <f>IF(AND($O1273=$Q$7,$B1273&lt;'111'!$L$11),"x","")</f>
        <v>x</v>
      </c>
    </row>
    <row r="1274" spans="1:19" ht="15.75" customHeight="1">
      <c r="A1274" s="152" t="str">
        <f>IF(B1274&lt;&gt;"",IF(AND(B1274='IN-TC'!$S$4,OR(TH!N1274="1111",TH!O1274="1111")),TH!D1274,""),"")</f>
        <v/>
      </c>
      <c r="B1274" s="34">
        <f t="shared" si="43"/>
        <v>8</v>
      </c>
      <c r="C1274" s="35">
        <f t="shared" si="44"/>
        <v>42587</v>
      </c>
      <c r="D1274" s="212" t="s">
        <v>889</v>
      </c>
      <c r="E1274" s="35">
        <v>42587</v>
      </c>
      <c r="F1274" s="144" t="s">
        <v>1084</v>
      </c>
      <c r="G1274" s="191" t="s">
        <v>212</v>
      </c>
      <c r="H1274" s="198"/>
      <c r="I1274" s="186"/>
      <c r="J1274" s="186"/>
      <c r="K1274" s="185"/>
      <c r="L1274" s="186"/>
      <c r="M1274" s="36">
        <v>53044000</v>
      </c>
      <c r="N1274" s="37"/>
      <c r="O1274" s="37" t="s">
        <v>34</v>
      </c>
      <c r="P1274" s="47" t="str">
        <f>IF(AND('331-CT'!$F$5=TH!H1274,OR(N1274="331",O1274="331")),"x","")</f>
        <v/>
      </c>
      <c r="Q1274" s="47" t="str">
        <f>IF(AND(B1274='111'!$L$11,OR($N1274=$Q$7,$O1274=$Q$7)),"x","")</f>
        <v/>
      </c>
      <c r="R1274" s="47" t="str">
        <f>IF(AND($N1274=$Q$7,$B1274&lt;'111'!$L$11),"x","")</f>
        <v/>
      </c>
      <c r="S1274" s="47" t="str">
        <f>IF(AND($O1274=$Q$7,$B1274&lt;'111'!$L$11),"x","")</f>
        <v>x</v>
      </c>
    </row>
    <row r="1275" spans="1:19" ht="15.75" customHeight="1">
      <c r="A1275" s="152" t="str">
        <f>IF(B1275&lt;&gt;"",IF(AND(B1275='IN-TC'!$S$4,OR(TH!N1275="1111",TH!O1275="1111")),TH!D1275,""),"")</f>
        <v/>
      </c>
      <c r="B1275" s="34">
        <f t="shared" si="43"/>
        <v>8</v>
      </c>
      <c r="C1275" s="35">
        <f t="shared" si="44"/>
        <v>42587</v>
      </c>
      <c r="D1275" s="212" t="s">
        <v>890</v>
      </c>
      <c r="E1275" s="35">
        <v>42587</v>
      </c>
      <c r="F1275" s="144" t="s">
        <v>1085</v>
      </c>
      <c r="G1275" s="191"/>
      <c r="H1275" s="198"/>
      <c r="I1275" s="186"/>
      <c r="J1275" s="186"/>
      <c r="K1275" s="185"/>
      <c r="L1275" s="186"/>
      <c r="M1275" s="36">
        <v>1916000</v>
      </c>
      <c r="N1275" s="37"/>
      <c r="O1275" s="37" t="s">
        <v>34</v>
      </c>
      <c r="P1275" s="47" t="str">
        <f>IF(AND('331-CT'!$F$5=TH!H1275,OR(N1275="331",O1275="331")),"x","")</f>
        <v/>
      </c>
      <c r="Q1275" s="47" t="str">
        <f>IF(AND(B1275='111'!$L$11,OR($N1275=$Q$7,$O1275=$Q$7)),"x","")</f>
        <v/>
      </c>
      <c r="R1275" s="47" t="str">
        <f>IF(AND($N1275=$Q$7,$B1275&lt;'111'!$L$11),"x","")</f>
        <v/>
      </c>
      <c r="S1275" s="47" t="str">
        <f>IF(AND($O1275=$Q$7,$B1275&lt;'111'!$L$11),"x","")</f>
        <v>x</v>
      </c>
    </row>
    <row r="1276" spans="1:19" ht="15.75" customHeight="1">
      <c r="A1276" s="152" t="str">
        <f>IF(B1276&lt;&gt;"",IF(AND(B1276='IN-TC'!$S$4,OR(TH!N1276="1111",TH!O1276="1111")),TH!D1276,""),"")</f>
        <v/>
      </c>
      <c r="B1276" s="34">
        <f t="shared" si="43"/>
        <v>8</v>
      </c>
      <c r="C1276" s="35">
        <f t="shared" si="44"/>
        <v>42587</v>
      </c>
      <c r="D1276" s="212" t="s">
        <v>891</v>
      </c>
      <c r="E1276" s="35">
        <v>42587</v>
      </c>
      <c r="F1276" s="144" t="s">
        <v>203</v>
      </c>
      <c r="G1276" s="191" t="s">
        <v>203</v>
      </c>
      <c r="H1276" s="198" t="s">
        <v>1403</v>
      </c>
      <c r="I1276" s="186"/>
      <c r="J1276" s="186"/>
      <c r="K1276" s="185"/>
      <c r="L1276" s="186"/>
      <c r="M1276" s="36">
        <v>16511000</v>
      </c>
      <c r="N1276" s="37" t="s">
        <v>814</v>
      </c>
      <c r="O1276" s="37" t="s">
        <v>34</v>
      </c>
      <c r="P1276" s="47" t="str">
        <f>IF(AND('331-CT'!$F$5=TH!H1276,OR(N1276="331",O1276="331")),"x","")</f>
        <v/>
      </c>
      <c r="Q1276" s="47" t="str">
        <f>IF(AND(B1276='111'!$L$11,OR($N1276=$Q$7,$O1276=$Q$7)),"x","")</f>
        <v/>
      </c>
      <c r="R1276" s="47" t="str">
        <f>IF(AND($N1276=$Q$7,$B1276&lt;'111'!$L$11),"x","")</f>
        <v/>
      </c>
      <c r="S1276" s="47" t="str">
        <f>IF(AND($O1276=$Q$7,$B1276&lt;'111'!$L$11),"x","")</f>
        <v>x</v>
      </c>
    </row>
    <row r="1277" spans="1:19" ht="15.75" customHeight="1">
      <c r="A1277" s="152" t="str">
        <f>IF(B1277&lt;&gt;"",IF(AND(B1277='IN-TC'!$S$4,OR(TH!N1277="1111",TH!O1277="1111")),TH!D1277,""),"")</f>
        <v/>
      </c>
      <c r="B1277" s="34">
        <f t="shared" si="43"/>
        <v>8</v>
      </c>
      <c r="C1277" s="35">
        <f t="shared" si="44"/>
        <v>42587</v>
      </c>
      <c r="D1277" s="212" t="s">
        <v>892</v>
      </c>
      <c r="E1277" s="35">
        <v>42587</v>
      </c>
      <c r="F1277" s="144" t="s">
        <v>1086</v>
      </c>
      <c r="G1277" s="191"/>
      <c r="H1277" s="198"/>
      <c r="I1277" s="186"/>
      <c r="J1277" s="186"/>
      <c r="K1277" s="185"/>
      <c r="L1277" s="186"/>
      <c r="M1277" s="36">
        <v>2017000</v>
      </c>
      <c r="N1277" s="37"/>
      <c r="O1277" s="37" t="s">
        <v>34</v>
      </c>
      <c r="P1277" s="47" t="str">
        <f>IF(AND('331-CT'!$F$5=TH!H1277,OR(N1277="331",O1277="331")),"x","")</f>
        <v/>
      </c>
      <c r="Q1277" s="47" t="str">
        <f>IF(AND(B1277='111'!$L$11,OR($N1277=$Q$7,$O1277=$Q$7)),"x","")</f>
        <v/>
      </c>
      <c r="R1277" s="47" t="str">
        <f>IF(AND($N1277=$Q$7,$B1277&lt;'111'!$L$11),"x","")</f>
        <v/>
      </c>
      <c r="S1277" s="47" t="str">
        <f>IF(AND($O1277=$Q$7,$B1277&lt;'111'!$L$11),"x","")</f>
        <v>x</v>
      </c>
    </row>
    <row r="1278" spans="1:19" ht="15.75" customHeight="1">
      <c r="A1278" s="152" t="str">
        <f>IF(B1278&lt;&gt;"",IF(AND(B1278='IN-TC'!$S$4,OR(TH!N1278="1111",TH!O1278="1111")),TH!D1278,""),"")</f>
        <v/>
      </c>
      <c r="B1278" s="34">
        <f t="shared" si="43"/>
        <v>8</v>
      </c>
      <c r="C1278" s="35">
        <f t="shared" si="44"/>
        <v>42587</v>
      </c>
      <c r="D1278" s="212" t="s">
        <v>893</v>
      </c>
      <c r="E1278" s="35">
        <v>42587</v>
      </c>
      <c r="F1278" s="144" t="s">
        <v>1087</v>
      </c>
      <c r="G1278" s="191" t="s">
        <v>213</v>
      </c>
      <c r="H1278" s="198" t="s">
        <v>1088</v>
      </c>
      <c r="I1278" s="186"/>
      <c r="J1278" s="186"/>
      <c r="K1278" s="185"/>
      <c r="L1278" s="186"/>
      <c r="M1278" s="36">
        <v>9110000</v>
      </c>
      <c r="N1278" s="37"/>
      <c r="O1278" s="37" t="s">
        <v>34</v>
      </c>
      <c r="P1278" s="47" t="str">
        <f>IF(AND('331-CT'!$F$5=TH!H1278,OR(N1278="331",O1278="331")),"x","")</f>
        <v/>
      </c>
      <c r="Q1278" s="47" t="str">
        <f>IF(AND(B1278='111'!$L$11,OR($N1278=$Q$7,$O1278=$Q$7)),"x","")</f>
        <v/>
      </c>
      <c r="R1278" s="47" t="str">
        <f>IF(AND($N1278=$Q$7,$B1278&lt;'111'!$L$11),"x","")</f>
        <v/>
      </c>
      <c r="S1278" s="47" t="str">
        <f>IF(AND($O1278=$Q$7,$B1278&lt;'111'!$L$11),"x","")</f>
        <v>x</v>
      </c>
    </row>
    <row r="1279" spans="1:19" ht="15.75" customHeight="1">
      <c r="A1279" s="152" t="str">
        <f>IF(B1279&lt;&gt;"",IF(AND(B1279='IN-TC'!$S$4,OR(TH!N1279="1111",TH!O1279="1111")),TH!D1279,""),"")</f>
        <v/>
      </c>
      <c r="B1279" s="34">
        <f t="shared" si="43"/>
        <v>8</v>
      </c>
      <c r="C1279" s="35">
        <f t="shared" si="44"/>
        <v>42587</v>
      </c>
      <c r="D1279" s="212"/>
      <c r="E1279" s="35">
        <v>42587</v>
      </c>
      <c r="F1279" s="144" t="s">
        <v>1476</v>
      </c>
      <c r="G1279" s="191" t="s">
        <v>1480</v>
      </c>
      <c r="H1279" s="198" t="s">
        <v>843</v>
      </c>
      <c r="I1279" s="186">
        <v>670</v>
      </c>
      <c r="J1279" s="186">
        <v>37000</v>
      </c>
      <c r="K1279" s="185"/>
      <c r="L1279" s="186"/>
      <c r="M1279" s="36">
        <f>ROUND(I1279*J1279,0)</f>
        <v>24790000</v>
      </c>
      <c r="N1279" s="37" t="s">
        <v>1443</v>
      </c>
      <c r="O1279" s="37" t="s">
        <v>8</v>
      </c>
      <c r="P1279" s="47" t="str">
        <f>IF(AND('331-CT'!$F$5=TH!H1279,OR(N1279="331",O1279="331")),"x","")</f>
        <v/>
      </c>
      <c r="Q1279" s="47" t="str">
        <f>IF(AND(B1279='111'!$L$11,OR($N1279=$Q$7,$O1279=$Q$7)),"x","")</f>
        <v/>
      </c>
      <c r="R1279" s="47" t="str">
        <f>IF(AND($N1279=$Q$7,$B1279&lt;'111'!$L$11),"x","")</f>
        <v/>
      </c>
      <c r="S1279" s="47" t="str">
        <f>IF(AND($O1279=$Q$7,$B1279&lt;'111'!$L$11),"x","")</f>
        <v/>
      </c>
    </row>
    <row r="1280" spans="1:19" ht="15.75" customHeight="1">
      <c r="A1280" s="152" t="str">
        <f>IF(B1280&lt;&gt;"",IF(AND(B1280='IN-TC'!$S$4,OR(TH!N1280="1111",TH!O1280="1111")),TH!D1280,""),"")</f>
        <v/>
      </c>
      <c r="B1280" s="34">
        <f t="shared" si="43"/>
        <v>8</v>
      </c>
      <c r="C1280" s="35">
        <f t="shared" si="44"/>
        <v>42587</v>
      </c>
      <c r="D1280" s="212"/>
      <c r="E1280" s="35">
        <v>42587</v>
      </c>
      <c r="F1280" s="144" t="s">
        <v>1479</v>
      </c>
      <c r="G1280" s="191"/>
      <c r="H1280" s="198" t="s">
        <v>843</v>
      </c>
      <c r="I1280" s="186"/>
      <c r="J1280" s="186"/>
      <c r="K1280" s="185"/>
      <c r="L1280" s="186"/>
      <c r="M1280" s="36">
        <v>6845000</v>
      </c>
      <c r="N1280" s="37" t="s">
        <v>1443</v>
      </c>
      <c r="O1280" s="37" t="s">
        <v>8</v>
      </c>
      <c r="P1280" s="47" t="str">
        <f>IF(AND('331-CT'!$F$5=TH!H1280,OR(N1280="331",O1280="331")),"x","")</f>
        <v/>
      </c>
      <c r="Q1280" s="47" t="str">
        <f>IF(AND(B1280='111'!$L$11,OR($N1280=$Q$7,$O1280=$Q$7)),"x","")</f>
        <v/>
      </c>
      <c r="R1280" s="47" t="str">
        <f>IF(AND($N1280=$Q$7,$B1280&lt;'111'!$L$11),"x","")</f>
        <v/>
      </c>
      <c r="S1280" s="47" t="str">
        <f>IF(AND($O1280=$Q$7,$B1280&lt;'111'!$L$11),"x","")</f>
        <v/>
      </c>
    </row>
    <row r="1281" spans="1:19" ht="15.75" customHeight="1">
      <c r="A1281" s="152" t="str">
        <f>IF(B1281&lt;&gt;"",IF(AND(B1281='IN-TC'!$S$4,OR(TH!N1281="1111",TH!O1281="1111")),TH!D1281,""),"")</f>
        <v/>
      </c>
      <c r="B1281" s="34">
        <f t="shared" si="43"/>
        <v>8</v>
      </c>
      <c r="C1281" s="35">
        <f t="shared" si="44"/>
        <v>42588</v>
      </c>
      <c r="D1281" s="212" t="s">
        <v>894</v>
      </c>
      <c r="E1281" s="35">
        <v>42588</v>
      </c>
      <c r="F1281" s="144" t="s">
        <v>1089</v>
      </c>
      <c r="G1281" s="191"/>
      <c r="H1281" s="198"/>
      <c r="I1281" s="186"/>
      <c r="J1281" s="186"/>
      <c r="K1281" s="185"/>
      <c r="L1281" s="186"/>
      <c r="M1281" s="36">
        <v>366000</v>
      </c>
      <c r="N1281" s="37"/>
      <c r="O1281" s="37" t="s">
        <v>34</v>
      </c>
      <c r="P1281" s="47" t="str">
        <f>IF(AND('331-CT'!$F$5=TH!H1281,OR(N1281="331",O1281="331")),"x","")</f>
        <v/>
      </c>
      <c r="Q1281" s="47" t="str">
        <f>IF(AND(B1281='111'!$L$11,OR($N1281=$Q$7,$O1281=$Q$7)),"x","")</f>
        <v/>
      </c>
      <c r="R1281" s="47" t="str">
        <f>IF(AND($N1281=$Q$7,$B1281&lt;'111'!$L$11),"x","")</f>
        <v/>
      </c>
      <c r="S1281" s="47" t="str">
        <f>IF(AND($O1281=$Q$7,$B1281&lt;'111'!$L$11),"x","")</f>
        <v>x</v>
      </c>
    </row>
    <row r="1282" spans="1:19" ht="15.75" customHeight="1">
      <c r="A1282" s="152" t="str">
        <f>IF(B1282&lt;&gt;"",IF(AND(B1282='IN-TC'!$S$4,OR(TH!N1282="1111",TH!O1282="1111")),TH!D1282,""),"")</f>
        <v/>
      </c>
      <c r="B1282" s="34">
        <f t="shared" si="43"/>
        <v>8</v>
      </c>
      <c r="C1282" s="35">
        <f t="shared" si="44"/>
        <v>42588</v>
      </c>
      <c r="D1282" s="212"/>
      <c r="E1282" s="35">
        <v>42588</v>
      </c>
      <c r="F1282" s="144" t="s">
        <v>1508</v>
      </c>
      <c r="G1282" s="191" t="s">
        <v>1454</v>
      </c>
      <c r="H1282" s="198" t="s">
        <v>820</v>
      </c>
      <c r="I1282" s="186">
        <v>2006.6</v>
      </c>
      <c r="J1282" s="186">
        <v>50000</v>
      </c>
      <c r="K1282" s="185"/>
      <c r="L1282" s="186"/>
      <c r="M1282" s="36">
        <f>ROUND(I1282*J1282,-3)</f>
        <v>100330000</v>
      </c>
      <c r="N1282" s="37" t="s">
        <v>1443</v>
      </c>
      <c r="O1282" s="37" t="s">
        <v>8</v>
      </c>
      <c r="P1282" s="47" t="str">
        <f>IF(AND('331-CT'!$F$5=TH!H1282,OR(N1282="331",O1282="331")),"x","")</f>
        <v/>
      </c>
      <c r="Q1282" s="47" t="str">
        <f>IF(AND(B1282='111'!$L$11,OR($N1282=$Q$7,$O1282=$Q$7)),"x","")</f>
        <v/>
      </c>
      <c r="R1282" s="47" t="str">
        <f>IF(AND($N1282=$Q$7,$B1282&lt;'111'!$L$11),"x","")</f>
        <v/>
      </c>
      <c r="S1282" s="47" t="str">
        <f>IF(AND($O1282=$Q$7,$B1282&lt;'111'!$L$11),"x","")</f>
        <v/>
      </c>
    </row>
    <row r="1283" spans="1:19" ht="15.75" customHeight="1">
      <c r="A1283" s="152" t="str">
        <f>IF(B1283&lt;&gt;"",IF(AND(B1283='IN-TC'!$S$4,OR(TH!N1283="1111",TH!O1283="1111")),TH!D1283,""),"")</f>
        <v/>
      </c>
      <c r="B1283" s="34">
        <f t="shared" si="43"/>
        <v>8</v>
      </c>
      <c r="C1283" s="35">
        <f t="shared" si="44"/>
        <v>42589</v>
      </c>
      <c r="D1283" s="212"/>
      <c r="E1283" s="35">
        <v>42589</v>
      </c>
      <c r="F1283" s="144" t="s">
        <v>1467</v>
      </c>
      <c r="G1283" s="191"/>
      <c r="H1283" s="198" t="s">
        <v>831</v>
      </c>
      <c r="I1283" s="186">
        <v>760</v>
      </c>
      <c r="J1283" s="186">
        <v>12000</v>
      </c>
      <c r="K1283" s="185"/>
      <c r="L1283" s="186"/>
      <c r="M1283" s="36">
        <f>ROUND(I1283*J1283,0)</f>
        <v>9120000</v>
      </c>
      <c r="N1283" s="37" t="s">
        <v>1443</v>
      </c>
      <c r="O1283" s="37" t="s">
        <v>8</v>
      </c>
      <c r="P1283" s="47" t="str">
        <f>IF(AND('331-CT'!$F$5=TH!H1283,OR(N1283="331",O1283="331")),"x","")</f>
        <v/>
      </c>
      <c r="Q1283" s="47" t="str">
        <f>IF(AND(B1283='111'!$L$11,OR($N1283=$Q$7,$O1283=$Q$7)),"x","")</f>
        <v/>
      </c>
      <c r="R1283" s="47" t="str">
        <f>IF(AND($N1283=$Q$7,$B1283&lt;'111'!$L$11),"x","")</f>
        <v/>
      </c>
      <c r="S1283" s="47" t="str">
        <f>IF(AND($O1283=$Q$7,$B1283&lt;'111'!$L$11),"x","")</f>
        <v/>
      </c>
    </row>
    <row r="1284" spans="1:19" ht="15.75" customHeight="1">
      <c r="A1284" s="152" t="str">
        <f>IF(B1284&lt;&gt;"",IF(AND(B1284='IN-TC'!$S$4,OR(TH!N1284="1111",TH!O1284="1111")),TH!D1284,""),"")</f>
        <v/>
      </c>
      <c r="B1284" s="34">
        <f t="shared" si="43"/>
        <v>8</v>
      </c>
      <c r="C1284" s="35">
        <f t="shared" si="44"/>
        <v>42590</v>
      </c>
      <c r="D1284" s="212" t="s">
        <v>895</v>
      </c>
      <c r="E1284" s="35">
        <v>42590</v>
      </c>
      <c r="F1284" s="144" t="s">
        <v>1090</v>
      </c>
      <c r="G1284" s="191" t="s">
        <v>204</v>
      </c>
      <c r="H1284" s="198"/>
      <c r="I1284" s="186"/>
      <c r="J1284" s="186"/>
      <c r="K1284" s="185"/>
      <c r="L1284" s="186"/>
      <c r="M1284" s="36">
        <v>16017000</v>
      </c>
      <c r="N1284" s="37"/>
      <c r="O1284" s="37" t="s">
        <v>34</v>
      </c>
      <c r="P1284" s="47" t="str">
        <f>IF(AND('331-CT'!$F$5=TH!H1284,OR(N1284="331",O1284="331")),"x","")</f>
        <v/>
      </c>
      <c r="Q1284" s="47" t="str">
        <f>IF(AND(B1284='111'!$L$11,OR($N1284=$Q$7,$O1284=$Q$7)),"x","")</f>
        <v/>
      </c>
      <c r="R1284" s="47" t="str">
        <f>IF(AND($N1284=$Q$7,$B1284&lt;'111'!$L$11),"x","")</f>
        <v/>
      </c>
      <c r="S1284" s="47" t="str">
        <f>IF(AND($O1284=$Q$7,$B1284&lt;'111'!$L$11),"x","")</f>
        <v>x</v>
      </c>
    </row>
    <row r="1285" spans="1:19" ht="15.75" customHeight="1">
      <c r="A1285" s="152" t="str">
        <f>IF(B1285&lt;&gt;"",IF(AND(B1285='IN-TC'!$S$4,OR(TH!N1285="1111",TH!O1285="1111")),TH!D1285,""),"")</f>
        <v/>
      </c>
      <c r="B1285" s="34">
        <f t="shared" si="43"/>
        <v>8</v>
      </c>
      <c r="C1285" s="35">
        <f t="shared" si="44"/>
        <v>42590</v>
      </c>
      <c r="D1285" s="212" t="s">
        <v>896</v>
      </c>
      <c r="E1285" s="35">
        <v>42590</v>
      </c>
      <c r="F1285" s="144" t="s">
        <v>1091</v>
      </c>
      <c r="G1285" s="191" t="s">
        <v>105</v>
      </c>
      <c r="H1285" s="198" t="s">
        <v>1073</v>
      </c>
      <c r="I1285" s="186"/>
      <c r="J1285" s="186"/>
      <c r="K1285" s="185"/>
      <c r="L1285" s="186"/>
      <c r="M1285" s="36">
        <v>150000000</v>
      </c>
      <c r="N1285" s="37" t="s">
        <v>812</v>
      </c>
      <c r="O1285" s="37" t="s">
        <v>34</v>
      </c>
      <c r="P1285" s="47" t="str">
        <f>IF(AND('331-CT'!$F$5=TH!H1285,OR(N1285="331",O1285="331")),"x","")</f>
        <v/>
      </c>
      <c r="Q1285" s="47" t="str">
        <f>IF(AND(B1285='111'!$L$11,OR($N1285=$Q$7,$O1285=$Q$7)),"x","")</f>
        <v/>
      </c>
      <c r="R1285" s="47" t="str">
        <f>IF(AND($N1285=$Q$7,$B1285&lt;'111'!$L$11),"x","")</f>
        <v/>
      </c>
      <c r="S1285" s="47" t="str">
        <f>IF(AND($O1285=$Q$7,$B1285&lt;'111'!$L$11),"x","")</f>
        <v>x</v>
      </c>
    </row>
    <row r="1286" spans="1:19" ht="15.75" customHeight="1">
      <c r="A1286" s="152" t="str">
        <f>IF(B1286&lt;&gt;"",IF(AND(B1286='IN-TC'!$S$4,OR(TH!N1286="1111",TH!O1286="1111")),TH!D1286,""),"")</f>
        <v/>
      </c>
      <c r="B1286" s="34">
        <f t="shared" si="43"/>
        <v>8</v>
      </c>
      <c r="C1286" s="35">
        <f t="shared" si="44"/>
        <v>42590</v>
      </c>
      <c r="D1286" s="212" t="s">
        <v>897</v>
      </c>
      <c r="E1286" s="35">
        <v>42590</v>
      </c>
      <c r="F1286" s="144" t="s">
        <v>1092</v>
      </c>
      <c r="G1286" s="191"/>
      <c r="H1286" s="198"/>
      <c r="I1286" s="186"/>
      <c r="J1286" s="186"/>
      <c r="K1286" s="185"/>
      <c r="L1286" s="186"/>
      <c r="M1286" s="36">
        <v>21828000</v>
      </c>
      <c r="N1286" s="37"/>
      <c r="O1286" s="37" t="s">
        <v>34</v>
      </c>
      <c r="P1286" s="47" t="str">
        <f>IF(AND('331-CT'!$F$5=TH!H1286,OR(N1286="331",O1286="331")),"x","")</f>
        <v/>
      </c>
      <c r="Q1286" s="47" t="str">
        <f>IF(AND(B1286='111'!$L$11,OR($N1286=$Q$7,$O1286=$Q$7)),"x","")</f>
        <v/>
      </c>
      <c r="R1286" s="47" t="str">
        <f>IF(AND($N1286=$Q$7,$B1286&lt;'111'!$L$11),"x","")</f>
        <v/>
      </c>
      <c r="S1286" s="47" t="str">
        <f>IF(AND($O1286=$Q$7,$B1286&lt;'111'!$L$11),"x","")</f>
        <v>x</v>
      </c>
    </row>
    <row r="1287" spans="1:19" ht="15.75" customHeight="1">
      <c r="A1287" s="152" t="str">
        <f>IF(B1287&lt;&gt;"",IF(AND(B1287='IN-TC'!$S$4,OR(TH!N1287="1111",TH!O1287="1111")),TH!D1287,""),"")</f>
        <v/>
      </c>
      <c r="B1287" s="34">
        <f t="shared" si="43"/>
        <v>8</v>
      </c>
      <c r="C1287" s="35">
        <f t="shared" si="44"/>
        <v>42590</v>
      </c>
      <c r="D1287" s="212" t="s">
        <v>898</v>
      </c>
      <c r="E1287" s="35">
        <v>42590</v>
      </c>
      <c r="F1287" s="144" t="s">
        <v>671</v>
      </c>
      <c r="G1287" s="191" t="s">
        <v>207</v>
      </c>
      <c r="H1287" s="198"/>
      <c r="I1287" s="186"/>
      <c r="J1287" s="186"/>
      <c r="K1287" s="185"/>
      <c r="L1287" s="186"/>
      <c r="M1287" s="36">
        <v>500000</v>
      </c>
      <c r="N1287" s="37"/>
      <c r="O1287" s="37" t="s">
        <v>34</v>
      </c>
      <c r="P1287" s="47" t="str">
        <f>IF(AND('331-CT'!$F$5=TH!H1287,OR(N1287="331",O1287="331")),"x","")</f>
        <v/>
      </c>
      <c r="Q1287" s="47" t="str">
        <f>IF(AND(B1287='111'!$L$11,OR($N1287=$Q$7,$O1287=$Q$7)),"x","")</f>
        <v/>
      </c>
      <c r="R1287" s="47" t="str">
        <f>IF(AND($N1287=$Q$7,$B1287&lt;'111'!$L$11),"x","")</f>
        <v/>
      </c>
      <c r="S1287" s="47" t="str">
        <f>IF(AND($O1287=$Q$7,$B1287&lt;'111'!$L$11),"x","")</f>
        <v>x</v>
      </c>
    </row>
    <row r="1288" spans="1:19" ht="15.75" customHeight="1">
      <c r="A1288" s="152" t="str">
        <f>IF(B1288&lt;&gt;"",IF(AND(B1288='IN-TC'!$S$4,OR(TH!N1288="1111",TH!O1288="1111")),TH!D1288,""),"")</f>
        <v/>
      </c>
      <c r="B1288" s="34">
        <f t="shared" si="43"/>
        <v>8</v>
      </c>
      <c r="C1288" s="35">
        <f t="shared" si="44"/>
        <v>42590</v>
      </c>
      <c r="D1288" s="212" t="s">
        <v>899</v>
      </c>
      <c r="E1288" s="35">
        <v>42590</v>
      </c>
      <c r="F1288" s="144" t="s">
        <v>1093</v>
      </c>
      <c r="G1288" s="191"/>
      <c r="H1288" s="198"/>
      <c r="I1288" s="186"/>
      <c r="J1288" s="186"/>
      <c r="K1288" s="185"/>
      <c r="L1288" s="186"/>
      <c r="M1288" s="36">
        <v>3000000</v>
      </c>
      <c r="N1288" s="37"/>
      <c r="O1288" s="37" t="s">
        <v>34</v>
      </c>
      <c r="P1288" s="47" t="str">
        <f>IF(AND('331-CT'!$F$5=TH!H1288,OR(N1288="331",O1288="331")),"x","")</f>
        <v/>
      </c>
      <c r="Q1288" s="47" t="str">
        <f>IF(AND(B1288='111'!$L$11,OR($N1288=$Q$7,$O1288=$Q$7)),"x","")</f>
        <v/>
      </c>
      <c r="R1288" s="47" t="str">
        <f>IF(AND($N1288=$Q$7,$B1288&lt;'111'!$L$11),"x","")</f>
        <v/>
      </c>
      <c r="S1288" s="47" t="str">
        <f>IF(AND($O1288=$Q$7,$B1288&lt;'111'!$L$11),"x","")</f>
        <v>x</v>
      </c>
    </row>
    <row r="1289" spans="1:19" ht="15.75" customHeight="1">
      <c r="A1289" s="152" t="str">
        <f>IF(B1289&lt;&gt;"",IF(AND(B1289='IN-TC'!$S$4,OR(TH!N1289="1111",TH!O1289="1111")),TH!D1289,""),"")</f>
        <v/>
      </c>
      <c r="B1289" s="34">
        <f t="shared" si="43"/>
        <v>8</v>
      </c>
      <c r="C1289" s="35">
        <f t="shared" si="44"/>
        <v>42590</v>
      </c>
      <c r="D1289" s="212" t="s">
        <v>900</v>
      </c>
      <c r="E1289" s="35">
        <v>42590</v>
      </c>
      <c r="F1289" s="144" t="s">
        <v>203</v>
      </c>
      <c r="G1289" s="191" t="s">
        <v>203</v>
      </c>
      <c r="H1289" s="198" t="s">
        <v>1414</v>
      </c>
      <c r="I1289" s="186"/>
      <c r="J1289" s="186"/>
      <c r="K1289" s="185"/>
      <c r="L1289" s="186"/>
      <c r="M1289" s="36">
        <v>5017000</v>
      </c>
      <c r="N1289" s="37" t="s">
        <v>814</v>
      </c>
      <c r="O1289" s="37" t="s">
        <v>34</v>
      </c>
      <c r="P1289" s="47" t="str">
        <f>IF(AND('331-CT'!$F$5=TH!H1289,OR(N1289="331",O1289="331")),"x","")</f>
        <v/>
      </c>
      <c r="Q1289" s="47" t="str">
        <f>IF(AND(B1289='111'!$L$11,OR($N1289=$Q$7,$O1289=$Q$7)),"x","")</f>
        <v/>
      </c>
      <c r="R1289" s="47" t="str">
        <f>IF(AND($N1289=$Q$7,$B1289&lt;'111'!$L$11),"x","")</f>
        <v/>
      </c>
      <c r="S1289" s="47" t="str">
        <f>IF(AND($O1289=$Q$7,$B1289&lt;'111'!$L$11),"x","")</f>
        <v>x</v>
      </c>
    </row>
    <row r="1290" spans="1:19" ht="15.75" customHeight="1">
      <c r="A1290" s="152" t="str">
        <f>IF(B1290&lt;&gt;"",IF(AND(B1290='IN-TC'!$S$4,OR(TH!N1290="1111",TH!O1290="1111")),TH!D1290,""),"")</f>
        <v/>
      </c>
      <c r="B1290" s="34">
        <f t="shared" si="43"/>
        <v>8</v>
      </c>
      <c r="C1290" s="35">
        <f t="shared" si="44"/>
        <v>42590</v>
      </c>
      <c r="D1290" s="212"/>
      <c r="E1290" s="35">
        <v>42590</v>
      </c>
      <c r="F1290" s="144" t="s">
        <v>1541</v>
      </c>
      <c r="G1290" s="191"/>
      <c r="H1290" s="198" t="s">
        <v>829</v>
      </c>
      <c r="I1290" s="186">
        <v>3270</v>
      </c>
      <c r="J1290" s="186">
        <v>19000</v>
      </c>
      <c r="K1290" s="185"/>
      <c r="L1290" s="186"/>
      <c r="M1290" s="36">
        <f>ROUND(I1290*J1290,-3)</f>
        <v>62130000</v>
      </c>
      <c r="N1290" s="37" t="s">
        <v>1443</v>
      </c>
      <c r="O1290" s="37" t="s">
        <v>8</v>
      </c>
      <c r="P1290" s="47" t="str">
        <f>IF(AND('331-CT'!$F$5=TH!H1290,OR(N1290="331",O1290="331")),"x","")</f>
        <v/>
      </c>
      <c r="Q1290" s="47" t="str">
        <f>IF(AND(B1290='111'!$L$11,OR($N1290=$Q$7,$O1290=$Q$7)),"x","")</f>
        <v/>
      </c>
      <c r="R1290" s="47" t="str">
        <f>IF(AND($N1290=$Q$7,$B1290&lt;'111'!$L$11),"x","")</f>
        <v/>
      </c>
      <c r="S1290" s="47" t="str">
        <f>IF(AND($O1290=$Q$7,$B1290&lt;'111'!$L$11),"x","")</f>
        <v/>
      </c>
    </row>
    <row r="1291" spans="1:19" ht="15.75" customHeight="1">
      <c r="A1291" s="152" t="str">
        <f>IF(B1291&lt;&gt;"",IF(AND(B1291='IN-TC'!$S$4,OR(TH!N1291="1111",TH!O1291="1111")),TH!D1291,""),"")</f>
        <v/>
      </c>
      <c r="B1291" s="34">
        <f t="shared" si="43"/>
        <v>8</v>
      </c>
      <c r="C1291" s="35">
        <f t="shared" si="44"/>
        <v>42590</v>
      </c>
      <c r="D1291" s="212"/>
      <c r="E1291" s="35">
        <v>42590</v>
      </c>
      <c r="F1291" s="144" t="s">
        <v>1542</v>
      </c>
      <c r="G1291" s="191"/>
      <c r="H1291" s="198" t="s">
        <v>829</v>
      </c>
      <c r="I1291" s="186">
        <v>180</v>
      </c>
      <c r="J1291" s="186">
        <v>19000</v>
      </c>
      <c r="K1291" s="185"/>
      <c r="L1291" s="186"/>
      <c r="M1291" s="36">
        <f>ROUND(I1291*J1291,-3)</f>
        <v>3420000</v>
      </c>
      <c r="N1291" s="37" t="s">
        <v>1443</v>
      </c>
      <c r="O1291" s="37" t="s">
        <v>8</v>
      </c>
      <c r="P1291" s="47" t="str">
        <f>IF(AND('331-CT'!$F$5=TH!H1291,OR(N1291="331",O1291="331")),"x","")</f>
        <v/>
      </c>
      <c r="Q1291" s="47" t="str">
        <f>IF(AND(B1291='111'!$L$11,OR($N1291=$Q$7,$O1291=$Q$7)),"x","")</f>
        <v/>
      </c>
      <c r="R1291" s="47" t="str">
        <f>IF(AND($N1291=$Q$7,$B1291&lt;'111'!$L$11),"x","")</f>
        <v/>
      </c>
      <c r="S1291" s="47" t="str">
        <f>IF(AND($O1291=$Q$7,$B1291&lt;'111'!$L$11),"x","")</f>
        <v/>
      </c>
    </row>
    <row r="1292" spans="1:19" ht="15.75" customHeight="1">
      <c r="A1292" s="152" t="str">
        <f>IF(B1292&lt;&gt;"",IF(AND(B1292='IN-TC'!$S$4,OR(TH!N1292="1111",TH!O1292="1111")),TH!D1292,""),"")</f>
        <v/>
      </c>
      <c r="B1292" s="34">
        <f t="shared" si="43"/>
        <v>8</v>
      </c>
      <c r="C1292" s="35">
        <f t="shared" si="44"/>
        <v>42590</v>
      </c>
      <c r="D1292" s="212"/>
      <c r="E1292" s="35">
        <v>42590</v>
      </c>
      <c r="F1292" s="144" t="s">
        <v>1543</v>
      </c>
      <c r="G1292" s="191"/>
      <c r="H1292" s="198" t="s">
        <v>829</v>
      </c>
      <c r="I1292" s="186">
        <v>76</v>
      </c>
      <c r="J1292" s="186">
        <v>19000</v>
      </c>
      <c r="K1292" s="185"/>
      <c r="L1292" s="186"/>
      <c r="M1292" s="36">
        <f>ROUND(I1292*J1292,-3)</f>
        <v>1444000</v>
      </c>
      <c r="N1292" s="37" t="s">
        <v>1443</v>
      </c>
      <c r="O1292" s="37" t="s">
        <v>8</v>
      </c>
      <c r="P1292" s="47" t="str">
        <f>IF(AND('331-CT'!$F$5=TH!H1292,OR(N1292="331",O1292="331")),"x","")</f>
        <v/>
      </c>
      <c r="Q1292" s="47" t="str">
        <f>IF(AND(B1292='111'!$L$11,OR($N1292=$Q$7,$O1292=$Q$7)),"x","")</f>
        <v/>
      </c>
      <c r="R1292" s="47" t="str">
        <f>IF(AND($N1292=$Q$7,$B1292&lt;'111'!$L$11),"x","")</f>
        <v/>
      </c>
      <c r="S1292" s="47" t="str">
        <f>IF(AND($O1292=$Q$7,$B1292&lt;'111'!$L$11),"x","")</f>
        <v/>
      </c>
    </row>
    <row r="1293" spans="1:19" ht="15.75" customHeight="1">
      <c r="A1293" s="152" t="str">
        <f>IF(B1293&lt;&gt;"",IF(AND(B1293='IN-TC'!$S$4,OR(TH!N1293="1111",TH!O1293="1111")),TH!D1293,""),"")</f>
        <v/>
      </c>
      <c r="B1293" s="34">
        <f t="shared" ref="B1293:B1356" si="45">IF(C1293&lt;&gt;"",MONTH(C1293),"")</f>
        <v>8</v>
      </c>
      <c r="C1293" s="35">
        <f t="shared" ref="C1293:C1356" si="46">E1293</f>
        <v>42590</v>
      </c>
      <c r="D1293" s="212"/>
      <c r="E1293" s="35">
        <v>42590</v>
      </c>
      <c r="F1293" s="144" t="s">
        <v>1544</v>
      </c>
      <c r="G1293" s="191"/>
      <c r="H1293" s="198" t="s">
        <v>829</v>
      </c>
      <c r="I1293" s="186">
        <v>600</v>
      </c>
      <c r="J1293" s="186">
        <v>127000</v>
      </c>
      <c r="K1293" s="185"/>
      <c r="L1293" s="186"/>
      <c r="M1293" s="36">
        <f>ROUND(I1293*J1293,-3)</f>
        <v>76200000</v>
      </c>
      <c r="N1293" s="37" t="s">
        <v>1443</v>
      </c>
      <c r="O1293" s="37" t="s">
        <v>8</v>
      </c>
      <c r="P1293" s="47" t="str">
        <f>IF(AND('331-CT'!$F$5=TH!H1293,OR(N1293="331",O1293="331")),"x","")</f>
        <v/>
      </c>
      <c r="Q1293" s="47" t="str">
        <f>IF(AND(B1293='111'!$L$11,OR($N1293=$Q$7,$O1293=$Q$7)),"x","")</f>
        <v/>
      </c>
      <c r="R1293" s="47" t="str">
        <f>IF(AND($N1293=$Q$7,$B1293&lt;'111'!$L$11),"x","")</f>
        <v/>
      </c>
      <c r="S1293" s="47" t="str">
        <f>IF(AND($O1293=$Q$7,$B1293&lt;'111'!$L$11),"x","")</f>
        <v/>
      </c>
    </row>
    <row r="1294" spans="1:19" ht="15.75" customHeight="1">
      <c r="A1294" s="152" t="str">
        <f>IF(B1294&lt;&gt;"",IF(AND(B1294='IN-TC'!$S$4,OR(TH!N1294="1111",TH!O1294="1111")),TH!D1294,""),"")</f>
        <v/>
      </c>
      <c r="B1294" s="34">
        <f t="shared" si="45"/>
        <v>8</v>
      </c>
      <c r="C1294" s="35">
        <f t="shared" si="46"/>
        <v>42590</v>
      </c>
      <c r="D1294" s="212"/>
      <c r="E1294" s="35">
        <v>42590</v>
      </c>
      <c r="F1294" s="144" t="s">
        <v>1549</v>
      </c>
      <c r="G1294" s="191"/>
      <c r="H1294" s="198" t="s">
        <v>829</v>
      </c>
      <c r="I1294" s="186">
        <v>4126</v>
      </c>
      <c r="J1294" s="186">
        <v>1000</v>
      </c>
      <c r="K1294" s="185"/>
      <c r="L1294" s="186"/>
      <c r="M1294" s="36">
        <f>ROUND(I1294*J1294,-3)</f>
        <v>4126000</v>
      </c>
      <c r="N1294" s="37" t="s">
        <v>1552</v>
      </c>
      <c r="O1294" s="37" t="s">
        <v>8</v>
      </c>
      <c r="P1294" s="47" t="str">
        <f>IF(AND('331-CT'!$F$5=TH!H1294,OR(N1294="331",O1294="331")),"x","")</f>
        <v/>
      </c>
      <c r="Q1294" s="47" t="str">
        <f>IF(AND(B1294='111'!$L$11,OR($N1294=$Q$7,$O1294=$Q$7)),"x","")</f>
        <v/>
      </c>
      <c r="R1294" s="47" t="str">
        <f>IF(AND($N1294=$Q$7,$B1294&lt;'111'!$L$11),"x","")</f>
        <v/>
      </c>
      <c r="S1294" s="47" t="str">
        <f>IF(AND($O1294=$Q$7,$B1294&lt;'111'!$L$11),"x","")</f>
        <v/>
      </c>
    </row>
    <row r="1295" spans="1:19" ht="15.75" customHeight="1">
      <c r="A1295" s="152" t="str">
        <f>IF(B1295&lt;&gt;"",IF(AND(B1295='IN-TC'!$S$4,OR(TH!N1295="1111",TH!O1295="1111")),TH!D1295,""),"")</f>
        <v/>
      </c>
      <c r="B1295" s="34">
        <f t="shared" si="45"/>
        <v>8</v>
      </c>
      <c r="C1295" s="35">
        <f t="shared" si="46"/>
        <v>42591</v>
      </c>
      <c r="D1295" s="212"/>
      <c r="E1295" s="35">
        <v>42591</v>
      </c>
      <c r="F1295" s="144" t="s">
        <v>1467</v>
      </c>
      <c r="G1295" s="191"/>
      <c r="H1295" s="198" t="s">
        <v>831</v>
      </c>
      <c r="I1295" s="186">
        <v>1580</v>
      </c>
      <c r="J1295" s="186">
        <v>12000</v>
      </c>
      <c r="K1295" s="185"/>
      <c r="L1295" s="186"/>
      <c r="M1295" s="36">
        <f>ROUND(I1295*J1295,0)</f>
        <v>18960000</v>
      </c>
      <c r="N1295" s="37" t="s">
        <v>1443</v>
      </c>
      <c r="O1295" s="37" t="s">
        <v>8</v>
      </c>
      <c r="P1295" s="47" t="str">
        <f>IF(AND('331-CT'!$F$5=TH!H1295,OR(N1295="331",O1295="331")),"x","")</f>
        <v/>
      </c>
      <c r="Q1295" s="47" t="str">
        <f>IF(AND(B1295='111'!$L$11,OR($N1295=$Q$7,$O1295=$Q$7)),"x","")</f>
        <v/>
      </c>
      <c r="R1295" s="47" t="str">
        <f>IF(AND($N1295=$Q$7,$B1295&lt;'111'!$L$11),"x","")</f>
        <v/>
      </c>
      <c r="S1295" s="47" t="str">
        <f>IF(AND($O1295=$Q$7,$B1295&lt;'111'!$L$11),"x","")</f>
        <v/>
      </c>
    </row>
    <row r="1296" spans="1:19" ht="15.75" customHeight="1">
      <c r="A1296" s="152" t="str">
        <f>IF(B1296&lt;&gt;"",IF(AND(B1296='IN-TC'!$S$4,OR(TH!N1296="1111",TH!O1296="1111")),TH!D1296,""),"")</f>
        <v/>
      </c>
      <c r="B1296" s="34">
        <f t="shared" si="45"/>
        <v>8</v>
      </c>
      <c r="C1296" s="35">
        <f t="shared" si="46"/>
        <v>42592</v>
      </c>
      <c r="D1296" s="212" t="s">
        <v>930</v>
      </c>
      <c r="E1296" s="35">
        <v>42592</v>
      </c>
      <c r="F1296" s="144" t="s">
        <v>1094</v>
      </c>
      <c r="G1296" s="191" t="s">
        <v>204</v>
      </c>
      <c r="H1296" s="198"/>
      <c r="I1296" s="186"/>
      <c r="J1296" s="186"/>
      <c r="K1296" s="185"/>
      <c r="L1296" s="186"/>
      <c r="M1296" s="36">
        <v>500000000</v>
      </c>
      <c r="N1296" s="37" t="s">
        <v>34</v>
      </c>
      <c r="O1296" s="37"/>
      <c r="P1296" s="47" t="str">
        <f>IF(AND('331-CT'!$F$5=TH!H1296,OR(N1296="331",O1296="331")),"x","")</f>
        <v/>
      </c>
      <c r="Q1296" s="47" t="str">
        <f>IF(AND(B1296='111'!$L$11,OR($N1296=$Q$7,$O1296=$Q$7)),"x","")</f>
        <v/>
      </c>
      <c r="R1296" s="47" t="str">
        <f>IF(AND($N1296=$Q$7,$B1296&lt;'111'!$L$11),"x","")</f>
        <v>x</v>
      </c>
      <c r="S1296" s="47" t="str">
        <f>IF(AND($O1296=$Q$7,$B1296&lt;'111'!$L$11),"x","")</f>
        <v/>
      </c>
    </row>
    <row r="1297" spans="1:19" ht="15.75" customHeight="1">
      <c r="A1297" s="152" t="str">
        <f>IF(B1297&lt;&gt;"",IF(AND(B1297='IN-TC'!$S$4,OR(TH!N1297="1111",TH!O1297="1111")),TH!D1297,""),"")</f>
        <v/>
      </c>
      <c r="B1297" s="34">
        <f t="shared" si="45"/>
        <v>8</v>
      </c>
      <c r="C1297" s="35">
        <f t="shared" si="46"/>
        <v>42592</v>
      </c>
      <c r="D1297" s="212" t="s">
        <v>901</v>
      </c>
      <c r="E1297" s="35">
        <v>42592</v>
      </c>
      <c r="F1297" s="144" t="s">
        <v>1095</v>
      </c>
      <c r="G1297" s="191" t="s">
        <v>207</v>
      </c>
      <c r="H1297" s="198"/>
      <c r="I1297" s="186"/>
      <c r="J1297" s="186"/>
      <c r="K1297" s="185"/>
      <c r="L1297" s="186"/>
      <c r="M1297" s="36">
        <v>20000000</v>
      </c>
      <c r="N1297" s="37"/>
      <c r="O1297" s="37" t="s">
        <v>34</v>
      </c>
      <c r="P1297" s="47" t="str">
        <f>IF(AND('331-CT'!$F$5=TH!H1297,OR(N1297="331",O1297="331")),"x","")</f>
        <v/>
      </c>
      <c r="Q1297" s="47" t="str">
        <f>IF(AND(B1297='111'!$L$11,OR($N1297=$Q$7,$O1297=$Q$7)),"x","")</f>
        <v/>
      </c>
      <c r="R1297" s="47" t="str">
        <f>IF(AND($N1297=$Q$7,$B1297&lt;'111'!$L$11),"x","")</f>
        <v/>
      </c>
      <c r="S1297" s="47" t="str">
        <f>IF(AND($O1297=$Q$7,$B1297&lt;'111'!$L$11),"x","")</f>
        <v>x</v>
      </c>
    </row>
    <row r="1298" spans="1:19" ht="15.75" customHeight="1">
      <c r="A1298" s="152" t="str">
        <f>IF(B1298&lt;&gt;"",IF(AND(B1298='IN-TC'!$S$4,OR(TH!N1298="1111",TH!O1298="1111")),TH!D1298,""),"")</f>
        <v/>
      </c>
      <c r="B1298" s="34">
        <f t="shared" si="45"/>
        <v>8</v>
      </c>
      <c r="C1298" s="35">
        <f t="shared" si="46"/>
        <v>42592</v>
      </c>
      <c r="D1298" s="212" t="s">
        <v>902</v>
      </c>
      <c r="E1298" s="35">
        <v>42592</v>
      </c>
      <c r="F1298" s="144" t="s">
        <v>671</v>
      </c>
      <c r="G1298" s="191" t="s">
        <v>207</v>
      </c>
      <c r="H1298" s="198"/>
      <c r="I1298" s="186"/>
      <c r="J1298" s="186"/>
      <c r="K1298" s="185"/>
      <c r="L1298" s="186"/>
      <c r="M1298" s="36">
        <v>500000</v>
      </c>
      <c r="N1298" s="37"/>
      <c r="O1298" s="37" t="s">
        <v>34</v>
      </c>
      <c r="P1298" s="47" t="str">
        <f>IF(AND('331-CT'!$F$5=TH!H1298,OR(N1298="331",O1298="331")),"x","")</f>
        <v/>
      </c>
      <c r="Q1298" s="47" t="str">
        <f>IF(AND(B1298='111'!$L$11,OR($N1298=$Q$7,$O1298=$Q$7)),"x","")</f>
        <v/>
      </c>
      <c r="R1298" s="47" t="str">
        <f>IF(AND($N1298=$Q$7,$B1298&lt;'111'!$L$11),"x","")</f>
        <v/>
      </c>
      <c r="S1298" s="47" t="str">
        <f>IF(AND($O1298=$Q$7,$B1298&lt;'111'!$L$11),"x","")</f>
        <v>x</v>
      </c>
    </row>
    <row r="1299" spans="1:19" ht="15.75" customHeight="1">
      <c r="A1299" s="152" t="str">
        <f>IF(B1299&lt;&gt;"",IF(AND(B1299='IN-TC'!$S$4,OR(TH!N1299="1111",TH!O1299="1111")),TH!D1299,""),"")</f>
        <v/>
      </c>
      <c r="B1299" s="34">
        <f t="shared" si="45"/>
        <v>8</v>
      </c>
      <c r="C1299" s="35">
        <f t="shared" si="46"/>
        <v>42592</v>
      </c>
      <c r="D1299" s="212" t="s">
        <v>903</v>
      </c>
      <c r="E1299" s="35">
        <v>42592</v>
      </c>
      <c r="F1299" s="144" t="s">
        <v>1096</v>
      </c>
      <c r="G1299" s="191"/>
      <c r="H1299" s="198"/>
      <c r="I1299" s="186"/>
      <c r="J1299" s="186"/>
      <c r="K1299" s="185"/>
      <c r="L1299" s="186"/>
      <c r="M1299" s="36">
        <v>2100000</v>
      </c>
      <c r="N1299" s="37"/>
      <c r="O1299" s="37" t="s">
        <v>34</v>
      </c>
      <c r="P1299" s="47" t="str">
        <f>IF(AND('331-CT'!$F$5=TH!H1299,OR(N1299="331",O1299="331")),"x","")</f>
        <v/>
      </c>
      <c r="Q1299" s="47" t="str">
        <f>IF(AND(B1299='111'!$L$11,OR($N1299=$Q$7,$O1299=$Q$7)),"x","")</f>
        <v/>
      </c>
      <c r="R1299" s="47" t="str">
        <f>IF(AND($N1299=$Q$7,$B1299&lt;'111'!$L$11),"x","")</f>
        <v/>
      </c>
      <c r="S1299" s="47" t="str">
        <f>IF(AND($O1299=$Q$7,$B1299&lt;'111'!$L$11),"x","")</f>
        <v>x</v>
      </c>
    </row>
    <row r="1300" spans="1:19" ht="15.75" customHeight="1">
      <c r="A1300" s="152" t="str">
        <f>IF(B1300&lt;&gt;"",IF(AND(B1300='IN-TC'!$S$4,OR(TH!N1300="1111",TH!O1300="1111")),TH!D1300,""),"")</f>
        <v/>
      </c>
      <c r="B1300" s="34">
        <f t="shared" si="45"/>
        <v>8</v>
      </c>
      <c r="C1300" s="35">
        <f t="shared" si="46"/>
        <v>42592</v>
      </c>
      <c r="D1300" s="212" t="s">
        <v>904</v>
      </c>
      <c r="E1300" s="35">
        <v>42592</v>
      </c>
      <c r="F1300" s="144" t="s">
        <v>1097</v>
      </c>
      <c r="G1300" s="191"/>
      <c r="H1300" s="198"/>
      <c r="I1300" s="186"/>
      <c r="J1300" s="186"/>
      <c r="K1300" s="185"/>
      <c r="L1300" s="186"/>
      <c r="M1300" s="36">
        <v>1000000</v>
      </c>
      <c r="N1300" s="37"/>
      <c r="O1300" s="37" t="s">
        <v>34</v>
      </c>
      <c r="P1300" s="47" t="str">
        <f>IF(AND('331-CT'!$F$5=TH!H1300,OR(N1300="331",O1300="331")),"x","")</f>
        <v/>
      </c>
      <c r="Q1300" s="47" t="str">
        <f>IF(AND(B1300='111'!$L$11,OR($N1300=$Q$7,$O1300=$Q$7)),"x","")</f>
        <v/>
      </c>
      <c r="R1300" s="47" t="str">
        <f>IF(AND($N1300=$Q$7,$B1300&lt;'111'!$L$11),"x","")</f>
        <v/>
      </c>
      <c r="S1300" s="47" t="str">
        <f>IF(AND($O1300=$Q$7,$B1300&lt;'111'!$L$11),"x","")</f>
        <v>x</v>
      </c>
    </row>
    <row r="1301" spans="1:19" ht="15.75" customHeight="1">
      <c r="A1301" s="152" t="str">
        <f>IF(B1301&lt;&gt;"",IF(AND(B1301='IN-TC'!$S$4,OR(TH!N1301="1111",TH!O1301="1111")),TH!D1301,""),"")</f>
        <v/>
      </c>
      <c r="B1301" s="34">
        <f t="shared" si="45"/>
        <v>8</v>
      </c>
      <c r="C1301" s="35">
        <f t="shared" si="46"/>
        <v>42592</v>
      </c>
      <c r="D1301" s="212" t="s">
        <v>905</v>
      </c>
      <c r="E1301" s="35">
        <v>42592</v>
      </c>
      <c r="F1301" s="144" t="s">
        <v>1098</v>
      </c>
      <c r="G1301" s="191"/>
      <c r="H1301" s="198"/>
      <c r="I1301" s="186"/>
      <c r="J1301" s="186"/>
      <c r="K1301" s="185"/>
      <c r="L1301" s="186"/>
      <c r="M1301" s="36">
        <v>2033000</v>
      </c>
      <c r="N1301" s="37"/>
      <c r="O1301" s="37" t="s">
        <v>34</v>
      </c>
      <c r="P1301" s="47" t="str">
        <f>IF(AND('331-CT'!$F$5=TH!H1301,OR(N1301="331",O1301="331")),"x","")</f>
        <v/>
      </c>
      <c r="Q1301" s="47" t="str">
        <f>IF(AND(B1301='111'!$L$11,OR($N1301=$Q$7,$O1301=$Q$7)),"x","")</f>
        <v/>
      </c>
      <c r="R1301" s="47" t="str">
        <f>IF(AND($N1301=$Q$7,$B1301&lt;'111'!$L$11),"x","")</f>
        <v/>
      </c>
      <c r="S1301" s="47" t="str">
        <f>IF(AND($O1301=$Q$7,$B1301&lt;'111'!$L$11),"x","")</f>
        <v>x</v>
      </c>
    </row>
    <row r="1302" spans="1:19" ht="15.75" customHeight="1">
      <c r="A1302" s="152" t="str">
        <f>IF(B1302&lt;&gt;"",IF(AND(B1302='IN-TC'!$S$4,OR(TH!N1302="1111",TH!O1302="1111")),TH!D1302,""),"")</f>
        <v/>
      </c>
      <c r="B1302" s="34">
        <f t="shared" si="45"/>
        <v>8</v>
      </c>
      <c r="C1302" s="35">
        <f t="shared" si="46"/>
        <v>42592</v>
      </c>
      <c r="D1302" s="212" t="s">
        <v>906</v>
      </c>
      <c r="E1302" s="35">
        <v>42592</v>
      </c>
      <c r="F1302" s="144" t="s">
        <v>1099</v>
      </c>
      <c r="G1302" s="191"/>
      <c r="H1302" s="198"/>
      <c r="I1302" s="186"/>
      <c r="J1302" s="186"/>
      <c r="K1302" s="185"/>
      <c r="L1302" s="186"/>
      <c r="M1302" s="36">
        <v>6502000</v>
      </c>
      <c r="N1302" s="37"/>
      <c r="O1302" s="37" t="s">
        <v>34</v>
      </c>
      <c r="P1302" s="47" t="str">
        <f>IF(AND('331-CT'!$F$5=TH!H1302,OR(N1302="331",O1302="331")),"x","")</f>
        <v/>
      </c>
      <c r="Q1302" s="47" t="str">
        <f>IF(AND(B1302='111'!$L$11,OR($N1302=$Q$7,$O1302=$Q$7)),"x","")</f>
        <v/>
      </c>
      <c r="R1302" s="47" t="str">
        <f>IF(AND($N1302=$Q$7,$B1302&lt;'111'!$L$11),"x","")</f>
        <v/>
      </c>
      <c r="S1302" s="47" t="str">
        <f>IF(AND($O1302=$Q$7,$B1302&lt;'111'!$L$11),"x","")</f>
        <v>x</v>
      </c>
    </row>
    <row r="1303" spans="1:19" ht="15.75" customHeight="1">
      <c r="A1303" s="152" t="str">
        <f>IF(B1303&lt;&gt;"",IF(AND(B1303='IN-TC'!$S$4,OR(TH!N1303="1111",TH!O1303="1111")),TH!D1303,""),"")</f>
        <v/>
      </c>
      <c r="B1303" s="34">
        <f t="shared" si="45"/>
        <v>8</v>
      </c>
      <c r="C1303" s="35">
        <f t="shared" si="46"/>
        <v>42592</v>
      </c>
      <c r="D1303" s="212" t="s">
        <v>907</v>
      </c>
      <c r="E1303" s="35">
        <v>42592</v>
      </c>
      <c r="F1303" s="144" t="s">
        <v>850</v>
      </c>
      <c r="G1303" s="191" t="s">
        <v>206</v>
      </c>
      <c r="H1303" s="198" t="s">
        <v>843</v>
      </c>
      <c r="I1303" s="186"/>
      <c r="J1303" s="186"/>
      <c r="K1303" s="185"/>
      <c r="L1303" s="186"/>
      <c r="M1303" s="36">
        <v>114515000</v>
      </c>
      <c r="N1303" s="37" t="s">
        <v>8</v>
      </c>
      <c r="O1303" s="37" t="s">
        <v>34</v>
      </c>
      <c r="P1303" s="47" t="str">
        <f>IF(AND('331-CT'!$F$5=TH!H1303,OR(N1303="331",O1303="331")),"x","")</f>
        <v/>
      </c>
      <c r="Q1303" s="47" t="str">
        <f>IF(AND(B1303='111'!$L$11,OR($N1303=$Q$7,$O1303=$Q$7)),"x","")</f>
        <v/>
      </c>
      <c r="R1303" s="47" t="str">
        <f>IF(AND($N1303=$Q$7,$B1303&lt;'111'!$L$11),"x","")</f>
        <v/>
      </c>
      <c r="S1303" s="47" t="str">
        <f>IF(AND($O1303=$Q$7,$B1303&lt;'111'!$L$11),"x","")</f>
        <v>x</v>
      </c>
    </row>
    <row r="1304" spans="1:19" ht="15.75" customHeight="1">
      <c r="A1304" s="152" t="str">
        <f>IF(B1304&lt;&gt;"",IF(AND(B1304='IN-TC'!$S$4,OR(TH!N1304="1111",TH!O1304="1111")),TH!D1304,""),"")</f>
        <v/>
      </c>
      <c r="B1304" s="34">
        <f t="shared" si="45"/>
        <v>8</v>
      </c>
      <c r="C1304" s="35">
        <f t="shared" si="46"/>
        <v>42592</v>
      </c>
      <c r="D1304" s="212" t="s">
        <v>907</v>
      </c>
      <c r="E1304" s="35">
        <v>42592</v>
      </c>
      <c r="F1304" s="144" t="s">
        <v>1424</v>
      </c>
      <c r="G1304" s="191"/>
      <c r="H1304" s="198"/>
      <c r="I1304" s="186"/>
      <c r="J1304" s="186"/>
      <c r="K1304" s="185"/>
      <c r="L1304" s="186"/>
      <c r="M1304" s="36">
        <v>34000</v>
      </c>
      <c r="N1304" s="37" t="s">
        <v>1425</v>
      </c>
      <c r="O1304" s="37" t="s">
        <v>34</v>
      </c>
      <c r="P1304" s="47" t="str">
        <f>IF(AND('331-CT'!$F$5=TH!H1304,OR(N1304="331",O1304="331")),"x","")</f>
        <v/>
      </c>
      <c r="Q1304" s="47" t="str">
        <f>IF(AND(B1304='111'!$L$11,OR($N1304=$Q$7,$O1304=$Q$7)),"x","")</f>
        <v/>
      </c>
      <c r="R1304" s="47" t="str">
        <f>IF(AND($N1304=$Q$7,$B1304&lt;'111'!$L$11),"x","")</f>
        <v/>
      </c>
      <c r="S1304" s="47" t="str">
        <f>IF(AND($O1304=$Q$7,$B1304&lt;'111'!$L$11),"x","")</f>
        <v>x</v>
      </c>
    </row>
    <row r="1305" spans="1:19" ht="15.75" customHeight="1">
      <c r="A1305" s="152" t="str">
        <f>IF(B1305&lt;&gt;"",IF(AND(B1305='IN-TC'!$S$4,OR(TH!N1305="1111",TH!O1305="1111")),TH!D1305,""),"")</f>
        <v/>
      </c>
      <c r="B1305" s="34">
        <f t="shared" si="45"/>
        <v>8</v>
      </c>
      <c r="C1305" s="35">
        <f t="shared" si="46"/>
        <v>42592</v>
      </c>
      <c r="D1305" s="212" t="s">
        <v>908</v>
      </c>
      <c r="E1305" s="35">
        <v>42592</v>
      </c>
      <c r="F1305" s="144" t="s">
        <v>850</v>
      </c>
      <c r="G1305" s="191" t="s">
        <v>206</v>
      </c>
      <c r="H1305" s="198" t="s">
        <v>828</v>
      </c>
      <c r="I1305" s="186"/>
      <c r="J1305" s="186"/>
      <c r="K1305" s="185"/>
      <c r="L1305" s="186"/>
      <c r="M1305" s="36">
        <v>105148000</v>
      </c>
      <c r="N1305" s="37" t="s">
        <v>8</v>
      </c>
      <c r="O1305" s="37" t="s">
        <v>34</v>
      </c>
      <c r="P1305" s="47" t="str">
        <f>IF(AND('331-CT'!$F$5=TH!H1305,OR(N1305="331",O1305="331")),"x","")</f>
        <v/>
      </c>
      <c r="Q1305" s="47" t="str">
        <f>IF(AND(B1305='111'!$L$11,OR($N1305=$Q$7,$O1305=$Q$7)),"x","")</f>
        <v/>
      </c>
      <c r="R1305" s="47" t="str">
        <f>IF(AND($N1305=$Q$7,$B1305&lt;'111'!$L$11),"x","")</f>
        <v/>
      </c>
      <c r="S1305" s="47" t="str">
        <f>IF(AND($O1305=$Q$7,$B1305&lt;'111'!$L$11),"x","")</f>
        <v>x</v>
      </c>
    </row>
    <row r="1306" spans="1:19" ht="15.75" customHeight="1">
      <c r="A1306" s="152" t="str">
        <f>IF(B1306&lt;&gt;"",IF(AND(B1306='IN-TC'!$S$4,OR(TH!N1306="1111",TH!O1306="1111")),TH!D1306,""),"")</f>
        <v/>
      </c>
      <c r="B1306" s="34">
        <f t="shared" si="45"/>
        <v>8</v>
      </c>
      <c r="C1306" s="35">
        <f t="shared" si="46"/>
        <v>42592</v>
      </c>
      <c r="D1306" s="212" t="s">
        <v>909</v>
      </c>
      <c r="E1306" s="35">
        <v>42592</v>
      </c>
      <c r="F1306" s="144" t="s">
        <v>850</v>
      </c>
      <c r="G1306" s="191" t="s">
        <v>206</v>
      </c>
      <c r="H1306" s="198" t="s">
        <v>851</v>
      </c>
      <c r="I1306" s="186"/>
      <c r="J1306" s="186"/>
      <c r="K1306" s="185"/>
      <c r="L1306" s="186"/>
      <c r="M1306" s="36">
        <v>164588000</v>
      </c>
      <c r="N1306" s="37" t="s">
        <v>8</v>
      </c>
      <c r="O1306" s="37" t="s">
        <v>34</v>
      </c>
      <c r="P1306" s="47" t="str">
        <f>IF(AND('331-CT'!$F$5=TH!H1306,OR(N1306="331",O1306="331")),"x","")</f>
        <v/>
      </c>
      <c r="Q1306" s="47" t="str">
        <f>IF(AND(B1306='111'!$L$11,OR($N1306=$Q$7,$O1306=$Q$7)),"x","")</f>
        <v/>
      </c>
      <c r="R1306" s="47" t="str">
        <f>IF(AND($N1306=$Q$7,$B1306&lt;'111'!$L$11),"x","")</f>
        <v/>
      </c>
      <c r="S1306" s="47" t="str">
        <f>IF(AND($O1306=$Q$7,$B1306&lt;'111'!$L$11),"x","")</f>
        <v>x</v>
      </c>
    </row>
    <row r="1307" spans="1:19" ht="15.75" customHeight="1">
      <c r="A1307" s="152" t="str">
        <f>IF(B1307&lt;&gt;"",IF(AND(B1307='IN-TC'!$S$4,OR(TH!N1307="1111",TH!O1307="1111")),TH!D1307,""),"")</f>
        <v/>
      </c>
      <c r="B1307" s="34">
        <f t="shared" si="45"/>
        <v>8</v>
      </c>
      <c r="C1307" s="35">
        <f t="shared" si="46"/>
        <v>42592</v>
      </c>
      <c r="D1307" s="212" t="s">
        <v>910</v>
      </c>
      <c r="E1307" s="35">
        <v>42592</v>
      </c>
      <c r="F1307" s="144" t="s">
        <v>850</v>
      </c>
      <c r="G1307" s="191" t="s">
        <v>206</v>
      </c>
      <c r="H1307" s="198" t="s">
        <v>1100</v>
      </c>
      <c r="I1307" s="186"/>
      <c r="J1307" s="186"/>
      <c r="K1307" s="185"/>
      <c r="L1307" s="186"/>
      <c r="M1307" s="36">
        <v>10033000</v>
      </c>
      <c r="N1307" s="37" t="s">
        <v>8</v>
      </c>
      <c r="O1307" s="37" t="s">
        <v>34</v>
      </c>
      <c r="P1307" s="47" t="str">
        <f>IF(AND('331-CT'!$F$5=TH!H1307,OR(N1307="331",O1307="331")),"x","")</f>
        <v/>
      </c>
      <c r="Q1307" s="47" t="str">
        <f>IF(AND(B1307='111'!$L$11,OR($N1307=$Q$7,$O1307=$Q$7)),"x","")</f>
        <v/>
      </c>
      <c r="R1307" s="47" t="str">
        <f>IF(AND($N1307=$Q$7,$B1307&lt;'111'!$L$11),"x","")</f>
        <v/>
      </c>
      <c r="S1307" s="47" t="str">
        <f>IF(AND($O1307=$Q$7,$B1307&lt;'111'!$L$11),"x","")</f>
        <v>x</v>
      </c>
    </row>
    <row r="1308" spans="1:19" ht="15.75" customHeight="1">
      <c r="A1308" s="152" t="str">
        <f>IF(B1308&lt;&gt;"",IF(AND(B1308='IN-TC'!$S$4,OR(TH!N1308="1111",TH!O1308="1111")),TH!D1308,""),"")</f>
        <v/>
      </c>
      <c r="B1308" s="34">
        <f t="shared" si="45"/>
        <v>8</v>
      </c>
      <c r="C1308" s="35">
        <f t="shared" si="46"/>
        <v>42592</v>
      </c>
      <c r="D1308" s="212" t="s">
        <v>911</v>
      </c>
      <c r="E1308" s="35">
        <v>42592</v>
      </c>
      <c r="F1308" s="144" t="s">
        <v>1101</v>
      </c>
      <c r="G1308" s="191"/>
      <c r="H1308" s="198"/>
      <c r="I1308" s="186"/>
      <c r="J1308" s="186"/>
      <c r="K1308" s="185"/>
      <c r="L1308" s="186"/>
      <c r="M1308" s="36">
        <v>180000</v>
      </c>
      <c r="N1308" s="37"/>
      <c r="O1308" s="37" t="s">
        <v>34</v>
      </c>
      <c r="P1308" s="47" t="str">
        <f>IF(AND('331-CT'!$F$5=TH!H1308,OR(N1308="331",O1308="331")),"x","")</f>
        <v/>
      </c>
      <c r="Q1308" s="47" t="str">
        <f>IF(AND(B1308='111'!$L$11,OR($N1308=$Q$7,$O1308=$Q$7)),"x","")</f>
        <v/>
      </c>
      <c r="R1308" s="47" t="str">
        <f>IF(AND($N1308=$Q$7,$B1308&lt;'111'!$L$11),"x","")</f>
        <v/>
      </c>
      <c r="S1308" s="47" t="str">
        <f>IF(AND($O1308=$Q$7,$B1308&lt;'111'!$L$11),"x","")</f>
        <v>x</v>
      </c>
    </row>
    <row r="1309" spans="1:19" ht="15.75" customHeight="1">
      <c r="A1309" s="152" t="str">
        <f>IF(B1309&lt;&gt;"",IF(AND(B1309='IN-TC'!$S$4,OR(TH!N1309="1111",TH!O1309="1111")),TH!D1309,""),"")</f>
        <v/>
      </c>
      <c r="B1309" s="34">
        <f t="shared" si="45"/>
        <v>8</v>
      </c>
      <c r="C1309" s="35">
        <f t="shared" si="46"/>
        <v>42592</v>
      </c>
      <c r="D1309" s="212" t="s">
        <v>912</v>
      </c>
      <c r="E1309" s="35">
        <v>42592</v>
      </c>
      <c r="F1309" s="144" t="s">
        <v>1051</v>
      </c>
      <c r="G1309" s="191" t="s">
        <v>204</v>
      </c>
      <c r="H1309" s="198"/>
      <c r="I1309" s="186"/>
      <c r="J1309" s="186"/>
      <c r="K1309" s="185"/>
      <c r="L1309" s="186"/>
      <c r="M1309" s="36">
        <v>20000000</v>
      </c>
      <c r="N1309" s="37"/>
      <c r="O1309" s="37" t="s">
        <v>34</v>
      </c>
      <c r="P1309" s="47" t="str">
        <f>IF(AND('331-CT'!$F$5=TH!H1309,OR(N1309="331",O1309="331")),"x","")</f>
        <v/>
      </c>
      <c r="Q1309" s="47" t="str">
        <f>IF(AND(B1309='111'!$L$11,OR($N1309=$Q$7,$O1309=$Q$7)),"x","")</f>
        <v/>
      </c>
      <c r="R1309" s="47" t="str">
        <f>IF(AND($N1309=$Q$7,$B1309&lt;'111'!$L$11),"x","")</f>
        <v/>
      </c>
      <c r="S1309" s="47" t="str">
        <f>IF(AND($O1309=$Q$7,$B1309&lt;'111'!$L$11),"x","")</f>
        <v>x</v>
      </c>
    </row>
    <row r="1310" spans="1:19" ht="15.75" customHeight="1">
      <c r="A1310" s="152" t="str">
        <f>IF(B1310&lt;&gt;"",IF(AND(B1310='IN-TC'!$S$4,OR(TH!N1310="1111",TH!O1310="1111")),TH!D1310,""),"")</f>
        <v/>
      </c>
      <c r="B1310" s="34">
        <f t="shared" si="45"/>
        <v>8</v>
      </c>
      <c r="C1310" s="35">
        <f t="shared" si="46"/>
        <v>42592</v>
      </c>
      <c r="D1310" s="212" t="s">
        <v>913</v>
      </c>
      <c r="E1310" s="35">
        <v>42592</v>
      </c>
      <c r="F1310" s="144" t="s">
        <v>1102</v>
      </c>
      <c r="G1310" s="191" t="s">
        <v>220</v>
      </c>
      <c r="H1310" s="198" t="s">
        <v>1103</v>
      </c>
      <c r="I1310" s="186"/>
      <c r="J1310" s="186"/>
      <c r="K1310" s="185"/>
      <c r="L1310" s="186"/>
      <c r="M1310" s="36">
        <v>21430000</v>
      </c>
      <c r="N1310" s="37"/>
      <c r="O1310" s="37" t="s">
        <v>34</v>
      </c>
      <c r="P1310" s="47" t="str">
        <f>IF(AND('331-CT'!$F$5=TH!H1310,OR(N1310="331",O1310="331")),"x","")</f>
        <v/>
      </c>
      <c r="Q1310" s="47" t="str">
        <f>IF(AND(B1310='111'!$L$11,OR($N1310=$Q$7,$O1310=$Q$7)),"x","")</f>
        <v/>
      </c>
      <c r="R1310" s="47" t="str">
        <f>IF(AND($N1310=$Q$7,$B1310&lt;'111'!$L$11),"x","")</f>
        <v/>
      </c>
      <c r="S1310" s="47" t="str">
        <f>IF(AND($O1310=$Q$7,$B1310&lt;'111'!$L$11),"x","")</f>
        <v>x</v>
      </c>
    </row>
    <row r="1311" spans="1:19" ht="15.75" customHeight="1">
      <c r="A1311" s="152" t="str">
        <f>IF(B1311&lt;&gt;"",IF(AND(B1311='IN-TC'!$S$4,OR(TH!N1311="1111",TH!O1311="1111")),TH!D1311,""),"")</f>
        <v/>
      </c>
      <c r="B1311" s="34">
        <f t="shared" si="45"/>
        <v>8</v>
      </c>
      <c r="C1311" s="35">
        <f t="shared" si="46"/>
        <v>42592</v>
      </c>
      <c r="D1311" s="212"/>
      <c r="E1311" s="35">
        <v>42592</v>
      </c>
      <c r="F1311" s="144" t="s">
        <v>1466</v>
      </c>
      <c r="G1311" s="191" t="s">
        <v>204</v>
      </c>
      <c r="H1311" s="198" t="s">
        <v>832</v>
      </c>
      <c r="I1311" s="186">
        <v>1802</v>
      </c>
      <c r="J1311" s="186">
        <v>15000</v>
      </c>
      <c r="K1311" s="185"/>
      <c r="L1311" s="186"/>
      <c r="M1311" s="36">
        <f>ROUND(I1311*J1311,0)</f>
        <v>27030000</v>
      </c>
      <c r="N1311" s="37" t="s">
        <v>1443</v>
      </c>
      <c r="O1311" s="37" t="s">
        <v>8</v>
      </c>
      <c r="P1311" s="47" t="str">
        <f>IF(AND('331-CT'!$F$5=TH!H1311,OR(N1311="331",O1311="331")),"x","")</f>
        <v/>
      </c>
      <c r="Q1311" s="47" t="str">
        <f>IF(AND(B1311='111'!$L$11,OR($N1311=$Q$7,$O1311=$Q$7)),"x","")</f>
        <v/>
      </c>
      <c r="R1311" s="47" t="str">
        <f>IF(AND($N1311=$Q$7,$B1311&lt;'111'!$L$11),"x","")</f>
        <v/>
      </c>
      <c r="S1311" s="47" t="str">
        <f>IF(AND($O1311=$Q$7,$B1311&lt;'111'!$L$11),"x","")</f>
        <v/>
      </c>
    </row>
    <row r="1312" spans="1:19" ht="15.75" customHeight="1">
      <c r="A1312" s="152" t="str">
        <f>IF(B1312&lt;&gt;"",IF(AND(B1312='IN-TC'!$S$4,OR(TH!N1312="1111",TH!O1312="1111")),TH!D1312,""),"")</f>
        <v/>
      </c>
      <c r="B1312" s="34">
        <f t="shared" si="45"/>
        <v>8</v>
      </c>
      <c r="C1312" s="35">
        <f t="shared" si="46"/>
        <v>42592</v>
      </c>
      <c r="D1312" s="212"/>
      <c r="E1312" s="35">
        <v>42592</v>
      </c>
      <c r="F1312" s="144" t="s">
        <v>1473</v>
      </c>
      <c r="G1312" s="191" t="s">
        <v>204</v>
      </c>
      <c r="H1312" s="198" t="s">
        <v>832</v>
      </c>
      <c r="I1312" s="186">
        <v>4.3</v>
      </c>
      <c r="J1312" s="186">
        <v>27000</v>
      </c>
      <c r="K1312" s="185"/>
      <c r="L1312" s="186"/>
      <c r="M1312" s="36">
        <f>ROUND(I1312*J1312,0)</f>
        <v>116100</v>
      </c>
      <c r="N1312" s="37" t="s">
        <v>1443</v>
      </c>
      <c r="O1312" s="37" t="s">
        <v>8</v>
      </c>
      <c r="P1312" s="47" t="str">
        <f>IF(AND('331-CT'!$F$5=TH!H1312,OR(N1312="331",O1312="331")),"x","")</f>
        <v/>
      </c>
      <c r="Q1312" s="47" t="str">
        <f>IF(AND(B1312='111'!$L$11,OR($N1312=$Q$7,$O1312=$Q$7)),"x","")</f>
        <v/>
      </c>
      <c r="R1312" s="47" t="str">
        <f>IF(AND($N1312=$Q$7,$B1312&lt;'111'!$L$11),"x","")</f>
        <v/>
      </c>
      <c r="S1312" s="47" t="str">
        <f>IF(AND($O1312=$Q$7,$B1312&lt;'111'!$L$11),"x","")</f>
        <v/>
      </c>
    </row>
    <row r="1313" spans="1:19" ht="15.75" customHeight="1">
      <c r="A1313" s="152" t="str">
        <f>IF(B1313&lt;&gt;"",IF(AND(B1313='IN-TC'!$S$4,OR(TH!N1313="1111",TH!O1313="1111")),TH!D1313,""),"")</f>
        <v/>
      </c>
      <c r="B1313" s="34">
        <f t="shared" si="45"/>
        <v>8</v>
      </c>
      <c r="C1313" s="35">
        <f t="shared" si="46"/>
        <v>42592</v>
      </c>
      <c r="D1313" s="212"/>
      <c r="E1313" s="35">
        <v>42592</v>
      </c>
      <c r="F1313" s="144" t="s">
        <v>1542</v>
      </c>
      <c r="G1313" s="191"/>
      <c r="H1313" s="198" t="s">
        <v>829</v>
      </c>
      <c r="I1313" s="186">
        <v>34</v>
      </c>
      <c r="J1313" s="186">
        <v>19000</v>
      </c>
      <c r="K1313" s="185"/>
      <c r="L1313" s="186"/>
      <c r="M1313" s="36">
        <f>ROUND(I1313*J1313,-3)</f>
        <v>646000</v>
      </c>
      <c r="N1313" s="37" t="s">
        <v>1443</v>
      </c>
      <c r="O1313" s="37" t="s">
        <v>8</v>
      </c>
      <c r="P1313" s="47" t="str">
        <f>IF(AND('331-CT'!$F$5=TH!H1313,OR(N1313="331",O1313="331")),"x","")</f>
        <v/>
      </c>
      <c r="Q1313" s="47" t="str">
        <f>IF(AND(B1313='111'!$L$11,OR($N1313=$Q$7,$O1313=$Q$7)),"x","")</f>
        <v/>
      </c>
      <c r="R1313" s="47" t="str">
        <f>IF(AND($N1313=$Q$7,$B1313&lt;'111'!$L$11),"x","")</f>
        <v/>
      </c>
      <c r="S1313" s="47" t="str">
        <f>IF(AND($O1313=$Q$7,$B1313&lt;'111'!$L$11),"x","")</f>
        <v/>
      </c>
    </row>
    <row r="1314" spans="1:19" ht="15.75" customHeight="1">
      <c r="A1314" s="152" t="str">
        <f>IF(B1314&lt;&gt;"",IF(AND(B1314='IN-TC'!$S$4,OR(TH!N1314="1111",TH!O1314="1111")),TH!D1314,""),"")</f>
        <v/>
      </c>
      <c r="B1314" s="34">
        <f t="shared" si="45"/>
        <v>8</v>
      </c>
      <c r="C1314" s="35">
        <f t="shared" si="46"/>
        <v>42592</v>
      </c>
      <c r="D1314" s="212"/>
      <c r="E1314" s="35">
        <v>42592</v>
      </c>
      <c r="F1314" s="144" t="s">
        <v>1545</v>
      </c>
      <c r="G1314" s="191"/>
      <c r="H1314" s="198" t="s">
        <v>829</v>
      </c>
      <c r="I1314" s="186">
        <v>10</v>
      </c>
      <c r="J1314" s="186">
        <v>127000</v>
      </c>
      <c r="K1314" s="185"/>
      <c r="L1314" s="186"/>
      <c r="M1314" s="36">
        <f>ROUND(I1314*J1314,-3)</f>
        <v>1270000</v>
      </c>
      <c r="N1314" s="37" t="s">
        <v>1443</v>
      </c>
      <c r="O1314" s="37" t="s">
        <v>8</v>
      </c>
      <c r="P1314" s="47" t="str">
        <f>IF(AND('331-CT'!$F$5=TH!H1314,OR(N1314="331",O1314="331")),"x","")</f>
        <v/>
      </c>
      <c r="Q1314" s="47" t="str">
        <f>IF(AND(B1314='111'!$L$11,OR($N1314=$Q$7,$O1314=$Q$7)),"x","")</f>
        <v/>
      </c>
      <c r="R1314" s="47" t="str">
        <f>IF(AND($N1314=$Q$7,$B1314&lt;'111'!$L$11),"x","")</f>
        <v/>
      </c>
      <c r="S1314" s="47" t="str">
        <f>IF(AND($O1314=$Q$7,$B1314&lt;'111'!$L$11),"x","")</f>
        <v/>
      </c>
    </row>
    <row r="1315" spans="1:19" ht="15.75" customHeight="1">
      <c r="A1315" s="152" t="str">
        <f>IF(B1315&lt;&gt;"",IF(AND(B1315='IN-TC'!$S$4,OR(TH!N1315="1111",TH!O1315="1111")),TH!D1315,""),"")</f>
        <v/>
      </c>
      <c r="B1315" s="34">
        <f t="shared" si="45"/>
        <v>8</v>
      </c>
      <c r="C1315" s="35">
        <f t="shared" si="46"/>
        <v>42592</v>
      </c>
      <c r="D1315" s="212"/>
      <c r="E1315" s="35">
        <v>42592</v>
      </c>
      <c r="F1315" s="144" t="s">
        <v>1546</v>
      </c>
      <c r="G1315" s="191"/>
      <c r="H1315" s="198" t="s">
        <v>829</v>
      </c>
      <c r="I1315" s="186">
        <v>57</v>
      </c>
      <c r="J1315" s="186">
        <v>127000</v>
      </c>
      <c r="K1315" s="185"/>
      <c r="L1315" s="186"/>
      <c r="M1315" s="36">
        <f>ROUND(I1315*J1315,-3)</f>
        <v>7239000</v>
      </c>
      <c r="N1315" s="37" t="s">
        <v>8</v>
      </c>
      <c r="O1315" s="37" t="s">
        <v>1443</v>
      </c>
      <c r="P1315" s="47" t="str">
        <f>IF(AND('331-CT'!$F$5=TH!H1315,OR(N1315="331",O1315="331")),"x","")</f>
        <v/>
      </c>
      <c r="Q1315" s="47" t="str">
        <f>IF(AND(B1315='111'!$L$11,OR($N1315=$Q$7,$O1315=$Q$7)),"x","")</f>
        <v/>
      </c>
      <c r="R1315" s="47" t="str">
        <f>IF(AND($N1315=$Q$7,$B1315&lt;'111'!$L$11),"x","")</f>
        <v/>
      </c>
      <c r="S1315" s="47" t="str">
        <f>IF(AND($O1315=$Q$7,$B1315&lt;'111'!$L$11),"x","")</f>
        <v/>
      </c>
    </row>
    <row r="1316" spans="1:19" ht="15.75" customHeight="1">
      <c r="A1316" s="152" t="str">
        <f>IF(B1316&lt;&gt;"",IF(AND(B1316='IN-TC'!$S$4,OR(TH!N1316="1111",TH!O1316="1111")),TH!D1316,""),"")</f>
        <v/>
      </c>
      <c r="B1316" s="34">
        <f t="shared" si="45"/>
        <v>8</v>
      </c>
      <c r="C1316" s="35">
        <f t="shared" si="46"/>
        <v>42592</v>
      </c>
      <c r="D1316" s="212"/>
      <c r="E1316" s="35">
        <v>42592</v>
      </c>
      <c r="F1316" s="144" t="s">
        <v>1547</v>
      </c>
      <c r="G1316" s="191"/>
      <c r="H1316" s="198" t="s">
        <v>829</v>
      </c>
      <c r="I1316" s="186">
        <v>17</v>
      </c>
      <c r="J1316" s="186">
        <v>127000</v>
      </c>
      <c r="K1316" s="185"/>
      <c r="L1316" s="186"/>
      <c r="M1316" s="36">
        <f>ROUND(I1316*J1316,-3)</f>
        <v>2159000</v>
      </c>
      <c r="N1316" s="37" t="s">
        <v>8</v>
      </c>
      <c r="O1316" s="37" t="s">
        <v>1443</v>
      </c>
      <c r="P1316" s="47" t="str">
        <f>IF(AND('331-CT'!$F$5=TH!H1316,OR(N1316="331",O1316="331")),"x","")</f>
        <v/>
      </c>
      <c r="Q1316" s="47" t="str">
        <f>IF(AND(B1316='111'!$L$11,OR($N1316=$Q$7,$O1316=$Q$7)),"x","")</f>
        <v/>
      </c>
      <c r="R1316" s="47" t="str">
        <f>IF(AND($N1316=$Q$7,$B1316&lt;'111'!$L$11),"x","")</f>
        <v/>
      </c>
      <c r="S1316" s="47" t="str">
        <f>IF(AND($O1316=$Q$7,$B1316&lt;'111'!$L$11),"x","")</f>
        <v/>
      </c>
    </row>
    <row r="1317" spans="1:19" ht="15.75" customHeight="1">
      <c r="A1317" s="152" t="str">
        <f>IF(B1317&lt;&gt;"",IF(AND(B1317='IN-TC'!$S$4,OR(TH!N1317="1111",TH!O1317="1111")),TH!D1317,""),"")</f>
        <v/>
      </c>
      <c r="B1317" s="34">
        <f t="shared" si="45"/>
        <v>8</v>
      </c>
      <c r="C1317" s="35">
        <f t="shared" si="46"/>
        <v>42592</v>
      </c>
      <c r="D1317" s="212"/>
      <c r="E1317" s="35">
        <v>42592</v>
      </c>
      <c r="F1317" s="144" t="s">
        <v>1549</v>
      </c>
      <c r="G1317" s="191"/>
      <c r="H1317" s="198" t="s">
        <v>829</v>
      </c>
      <c r="I1317" s="186">
        <v>34</v>
      </c>
      <c r="J1317" s="186">
        <v>1000</v>
      </c>
      <c r="K1317" s="185"/>
      <c r="L1317" s="186"/>
      <c r="M1317" s="36">
        <f>ROUND(I1317*J1317,-3)</f>
        <v>34000</v>
      </c>
      <c r="N1317" s="37" t="s">
        <v>1552</v>
      </c>
      <c r="O1317" s="37" t="s">
        <v>8</v>
      </c>
      <c r="P1317" s="47" t="str">
        <f>IF(AND('331-CT'!$F$5=TH!H1317,OR(N1317="331",O1317="331")),"x","")</f>
        <v/>
      </c>
      <c r="Q1317" s="47" t="str">
        <f>IF(AND(B1317='111'!$L$11,OR($N1317=$Q$7,$O1317=$Q$7)),"x","")</f>
        <v/>
      </c>
      <c r="R1317" s="47" t="str">
        <f>IF(AND($N1317=$Q$7,$B1317&lt;'111'!$L$11),"x","")</f>
        <v/>
      </c>
      <c r="S1317" s="47" t="str">
        <f>IF(AND($O1317=$Q$7,$B1317&lt;'111'!$L$11),"x","")</f>
        <v/>
      </c>
    </row>
    <row r="1318" spans="1:19" ht="15.75" customHeight="1">
      <c r="A1318" s="152" t="str">
        <f>IF(B1318&lt;&gt;"",IF(AND(B1318='IN-TC'!$S$4,OR(TH!N1318="1111",TH!O1318="1111")),TH!D1318,""),"")</f>
        <v/>
      </c>
      <c r="B1318" s="34">
        <f t="shared" si="45"/>
        <v>8</v>
      </c>
      <c r="C1318" s="35">
        <f t="shared" si="46"/>
        <v>42592</v>
      </c>
      <c r="D1318" s="212"/>
      <c r="E1318" s="35">
        <v>42592</v>
      </c>
      <c r="F1318" s="144" t="s">
        <v>1550</v>
      </c>
      <c r="G1318" s="191"/>
      <c r="H1318" s="198" t="s">
        <v>829</v>
      </c>
      <c r="I1318" s="186"/>
      <c r="J1318" s="186"/>
      <c r="K1318" s="185"/>
      <c r="L1318" s="186"/>
      <c r="M1318" s="36">
        <v>60000</v>
      </c>
      <c r="N1318" s="37" t="s">
        <v>1552</v>
      </c>
      <c r="O1318" s="37" t="s">
        <v>8</v>
      </c>
      <c r="P1318" s="47" t="str">
        <f>IF(AND('331-CT'!$F$5=TH!H1318,OR(N1318="331",O1318="331")),"x","")</f>
        <v/>
      </c>
      <c r="Q1318" s="47" t="str">
        <f>IF(AND(B1318='111'!$L$11,OR($N1318=$Q$7,$O1318=$Q$7)),"x","")</f>
        <v/>
      </c>
      <c r="R1318" s="47" t="str">
        <f>IF(AND($N1318=$Q$7,$B1318&lt;'111'!$L$11),"x","")</f>
        <v/>
      </c>
      <c r="S1318" s="47" t="str">
        <f>IF(AND($O1318=$Q$7,$B1318&lt;'111'!$L$11),"x","")</f>
        <v/>
      </c>
    </row>
    <row r="1319" spans="1:19" ht="15.75" customHeight="1">
      <c r="A1319" s="152" t="str">
        <f>IF(B1319&lt;&gt;"",IF(AND(B1319='IN-TC'!$S$4,OR(TH!N1319="1111",TH!O1319="1111")),TH!D1319,""),"")</f>
        <v/>
      </c>
      <c r="B1319" s="34">
        <f t="shared" si="45"/>
        <v>8</v>
      </c>
      <c r="C1319" s="35">
        <f t="shared" si="46"/>
        <v>42592</v>
      </c>
      <c r="D1319" s="212"/>
      <c r="E1319" s="35">
        <v>42592</v>
      </c>
      <c r="F1319" s="144" t="s">
        <v>1551</v>
      </c>
      <c r="G1319" s="191"/>
      <c r="H1319" s="198" t="s">
        <v>829</v>
      </c>
      <c r="I1319" s="186"/>
      <c r="J1319" s="186"/>
      <c r="K1319" s="185"/>
      <c r="L1319" s="186"/>
      <c r="M1319" s="36">
        <v>160000</v>
      </c>
      <c r="N1319" s="37" t="s">
        <v>1552</v>
      </c>
      <c r="O1319" s="37" t="s">
        <v>8</v>
      </c>
      <c r="P1319" s="47" t="str">
        <f>IF(AND('331-CT'!$F$5=TH!H1319,OR(N1319="331",O1319="331")),"x","")</f>
        <v/>
      </c>
      <c r="Q1319" s="47" t="str">
        <f>IF(AND(B1319='111'!$L$11,OR($N1319=$Q$7,$O1319=$Q$7)),"x","")</f>
        <v/>
      </c>
      <c r="R1319" s="47" t="str">
        <f>IF(AND($N1319=$Q$7,$B1319&lt;'111'!$L$11),"x","")</f>
        <v/>
      </c>
      <c r="S1319" s="47" t="str">
        <f>IF(AND($O1319=$Q$7,$B1319&lt;'111'!$L$11),"x","")</f>
        <v/>
      </c>
    </row>
    <row r="1320" spans="1:19" ht="15.75" customHeight="1">
      <c r="A1320" s="152" t="str">
        <f>IF(B1320&lt;&gt;"",IF(AND(B1320='IN-TC'!$S$4,OR(TH!N1320="1111",TH!O1320="1111")),TH!D1320,""),"")</f>
        <v/>
      </c>
      <c r="B1320" s="34">
        <f t="shared" si="45"/>
        <v>8</v>
      </c>
      <c r="C1320" s="35">
        <f t="shared" si="46"/>
        <v>42593</v>
      </c>
      <c r="D1320" s="212"/>
      <c r="E1320" s="35">
        <v>42593</v>
      </c>
      <c r="F1320" s="144" t="s">
        <v>1467</v>
      </c>
      <c r="G1320" s="191"/>
      <c r="H1320" s="198" t="s">
        <v>831</v>
      </c>
      <c r="I1320" s="186">
        <v>2010</v>
      </c>
      <c r="J1320" s="186">
        <v>12000</v>
      </c>
      <c r="K1320" s="185"/>
      <c r="L1320" s="186"/>
      <c r="M1320" s="36">
        <f>ROUND(I1320*J1320,0)</f>
        <v>24120000</v>
      </c>
      <c r="N1320" s="37" t="s">
        <v>1443</v>
      </c>
      <c r="O1320" s="37" t="s">
        <v>8</v>
      </c>
      <c r="P1320" s="47" t="str">
        <f>IF(AND('331-CT'!$F$5=TH!H1320,OR(N1320="331",O1320="331")),"x","")</f>
        <v/>
      </c>
      <c r="Q1320" s="47" t="str">
        <f>IF(AND(B1320='111'!$L$11,OR($N1320=$Q$7,$O1320=$Q$7)),"x","")</f>
        <v/>
      </c>
      <c r="R1320" s="47" t="str">
        <f>IF(AND($N1320=$Q$7,$B1320&lt;'111'!$L$11),"x","")</f>
        <v/>
      </c>
      <c r="S1320" s="47" t="str">
        <f>IF(AND($O1320=$Q$7,$B1320&lt;'111'!$L$11),"x","")</f>
        <v/>
      </c>
    </row>
    <row r="1321" spans="1:19" ht="15.75" customHeight="1">
      <c r="A1321" s="152" t="str">
        <f>IF(B1321&lt;&gt;"",IF(AND(B1321='IN-TC'!$S$4,OR(TH!N1321="1111",TH!O1321="1111")),TH!D1321,""),"")</f>
        <v/>
      </c>
      <c r="B1321" s="34">
        <f t="shared" si="45"/>
        <v>8</v>
      </c>
      <c r="C1321" s="35">
        <f t="shared" si="46"/>
        <v>42593</v>
      </c>
      <c r="D1321" s="212"/>
      <c r="E1321" s="35">
        <v>42593</v>
      </c>
      <c r="F1321" s="144" t="s">
        <v>1469</v>
      </c>
      <c r="G1321" s="191" t="s">
        <v>204</v>
      </c>
      <c r="H1321" s="198" t="s">
        <v>828</v>
      </c>
      <c r="I1321" s="186">
        <v>1447</v>
      </c>
      <c r="J1321" s="186">
        <v>22000</v>
      </c>
      <c r="K1321" s="185"/>
      <c r="L1321" s="186"/>
      <c r="M1321" s="36">
        <f>ROUND(I1321*J1321,-3)</f>
        <v>31834000</v>
      </c>
      <c r="N1321" s="37" t="s">
        <v>1443</v>
      </c>
      <c r="O1321" s="37" t="s">
        <v>8</v>
      </c>
      <c r="P1321" s="47" t="str">
        <f>IF(AND('331-CT'!$F$5=TH!H1321,OR(N1321="331",O1321="331")),"x","")</f>
        <v/>
      </c>
      <c r="Q1321" s="47" t="str">
        <f>IF(AND(B1321='111'!$L$11,OR($N1321=$Q$7,$O1321=$Q$7)),"x","")</f>
        <v/>
      </c>
      <c r="R1321" s="47" t="str">
        <f>IF(AND($N1321=$Q$7,$B1321&lt;'111'!$L$11),"x","")</f>
        <v/>
      </c>
      <c r="S1321" s="47" t="str">
        <f>IF(AND($O1321=$Q$7,$B1321&lt;'111'!$L$11),"x","")</f>
        <v/>
      </c>
    </row>
    <row r="1322" spans="1:19" ht="15.75" customHeight="1">
      <c r="A1322" s="152" t="str">
        <f>IF(B1322&lt;&gt;"",IF(AND(B1322='IN-TC'!$S$4,OR(TH!N1322="1111",TH!O1322="1111")),TH!D1322,""),"")</f>
        <v/>
      </c>
      <c r="B1322" s="34">
        <f t="shared" si="45"/>
        <v>8</v>
      </c>
      <c r="C1322" s="35">
        <f t="shared" si="46"/>
        <v>42593</v>
      </c>
      <c r="D1322" s="212"/>
      <c r="E1322" s="35">
        <v>42593</v>
      </c>
      <c r="F1322" s="144" t="s">
        <v>1498</v>
      </c>
      <c r="G1322" s="191" t="s">
        <v>204</v>
      </c>
      <c r="H1322" s="198" t="s">
        <v>828</v>
      </c>
      <c r="I1322" s="186">
        <v>404</v>
      </c>
      <c r="J1322" s="186">
        <v>25000</v>
      </c>
      <c r="K1322" s="185"/>
      <c r="L1322" s="186"/>
      <c r="M1322" s="36">
        <f>ROUND(I1322*J1322,-3)</f>
        <v>10100000</v>
      </c>
      <c r="N1322" s="37" t="s">
        <v>1443</v>
      </c>
      <c r="O1322" s="37" t="s">
        <v>8</v>
      </c>
      <c r="P1322" s="47" t="str">
        <f>IF(AND('331-CT'!$F$5=TH!H1322,OR(N1322="331",O1322="331")),"x","")</f>
        <v/>
      </c>
      <c r="Q1322" s="47" t="str">
        <f>IF(AND(B1322='111'!$L$11,OR($N1322=$Q$7,$O1322=$Q$7)),"x","")</f>
        <v/>
      </c>
      <c r="R1322" s="47" t="str">
        <f>IF(AND($N1322=$Q$7,$B1322&lt;'111'!$L$11),"x","")</f>
        <v/>
      </c>
      <c r="S1322" s="47" t="str">
        <f>IF(AND($O1322=$Q$7,$B1322&lt;'111'!$L$11),"x","")</f>
        <v/>
      </c>
    </row>
    <row r="1323" spans="1:19" ht="15.75" customHeight="1">
      <c r="A1323" s="152" t="str">
        <f>IF(B1323&lt;&gt;"",IF(AND(B1323='IN-TC'!$S$4,OR(TH!N1323="1111",TH!O1323="1111")),TH!D1323,""),"")</f>
        <v/>
      </c>
      <c r="B1323" s="34">
        <f t="shared" si="45"/>
        <v>8</v>
      </c>
      <c r="C1323" s="35">
        <f t="shared" si="46"/>
        <v>42593</v>
      </c>
      <c r="D1323" s="212"/>
      <c r="E1323" s="35">
        <v>42593</v>
      </c>
      <c r="F1323" s="144" t="s">
        <v>1495</v>
      </c>
      <c r="G1323" s="191" t="s">
        <v>204</v>
      </c>
      <c r="H1323" s="198" t="s">
        <v>828</v>
      </c>
      <c r="I1323" s="186">
        <v>3</v>
      </c>
      <c r="J1323" s="186">
        <v>15000</v>
      </c>
      <c r="K1323" s="185"/>
      <c r="L1323" s="186"/>
      <c r="M1323" s="36">
        <f>ROUND(I1323*J1323,-3)</f>
        <v>45000</v>
      </c>
      <c r="N1323" s="37" t="s">
        <v>1443</v>
      </c>
      <c r="O1323" s="37" t="s">
        <v>8</v>
      </c>
      <c r="P1323" s="47" t="str">
        <f>IF(AND('331-CT'!$F$5=TH!H1323,OR(N1323="331",O1323="331")),"x","")</f>
        <v/>
      </c>
      <c r="Q1323" s="47" t="str">
        <f>IF(AND(B1323='111'!$L$11,OR($N1323=$Q$7,$O1323=$Q$7)),"x","")</f>
        <v/>
      </c>
      <c r="R1323" s="47" t="str">
        <f>IF(AND($N1323=$Q$7,$B1323&lt;'111'!$L$11),"x","")</f>
        <v/>
      </c>
      <c r="S1323" s="47" t="str">
        <f>IF(AND($O1323=$Q$7,$B1323&lt;'111'!$L$11),"x","")</f>
        <v/>
      </c>
    </row>
    <row r="1324" spans="1:19" ht="15.75" customHeight="1">
      <c r="A1324" s="152" t="str">
        <f>IF(B1324&lt;&gt;"",IF(AND(B1324='IN-TC'!$S$4,OR(TH!N1324="1111",TH!O1324="1111")),TH!D1324,""),"")</f>
        <v/>
      </c>
      <c r="B1324" s="34">
        <f t="shared" si="45"/>
        <v>8</v>
      </c>
      <c r="C1324" s="35">
        <f t="shared" si="46"/>
        <v>42594</v>
      </c>
      <c r="D1324" s="212" t="s">
        <v>914</v>
      </c>
      <c r="E1324" s="35">
        <v>42594</v>
      </c>
      <c r="F1324" s="144" t="s">
        <v>1104</v>
      </c>
      <c r="G1324" s="191"/>
      <c r="H1324" s="198"/>
      <c r="I1324" s="186"/>
      <c r="J1324" s="186"/>
      <c r="K1324" s="185"/>
      <c r="L1324" s="186"/>
      <c r="M1324" s="36">
        <v>12224000</v>
      </c>
      <c r="N1324" s="37"/>
      <c r="O1324" s="37" t="s">
        <v>34</v>
      </c>
      <c r="P1324" s="47" t="str">
        <f>IF(AND('331-CT'!$F$5=TH!H1324,OR(N1324="331",O1324="331")),"x","")</f>
        <v/>
      </c>
      <c r="Q1324" s="47" t="str">
        <f>IF(AND(B1324='111'!$L$11,OR($N1324=$Q$7,$O1324=$Q$7)),"x","")</f>
        <v/>
      </c>
      <c r="R1324" s="47" t="str">
        <f>IF(AND($N1324=$Q$7,$B1324&lt;'111'!$L$11),"x","")</f>
        <v/>
      </c>
      <c r="S1324" s="47" t="str">
        <f>IF(AND($O1324=$Q$7,$B1324&lt;'111'!$L$11),"x","")</f>
        <v>x</v>
      </c>
    </row>
    <row r="1325" spans="1:19" ht="15.75" customHeight="1">
      <c r="A1325" s="152" t="str">
        <f>IF(B1325&lt;&gt;"",IF(AND(B1325='IN-TC'!$S$4,OR(TH!N1325="1111",TH!O1325="1111")),TH!D1325,""),"")</f>
        <v/>
      </c>
      <c r="B1325" s="34">
        <f t="shared" si="45"/>
        <v>8</v>
      </c>
      <c r="C1325" s="35">
        <f t="shared" si="46"/>
        <v>42594</v>
      </c>
      <c r="D1325" s="212" t="s">
        <v>915</v>
      </c>
      <c r="E1325" s="35">
        <v>42594</v>
      </c>
      <c r="F1325" s="144" t="s">
        <v>1105</v>
      </c>
      <c r="G1325" s="191"/>
      <c r="H1325" s="198"/>
      <c r="I1325" s="186"/>
      <c r="J1325" s="186"/>
      <c r="K1325" s="185"/>
      <c r="L1325" s="186"/>
      <c r="M1325" s="36">
        <v>9622000</v>
      </c>
      <c r="N1325" s="37"/>
      <c r="O1325" s="37" t="s">
        <v>34</v>
      </c>
      <c r="P1325" s="47" t="str">
        <f>IF(AND('331-CT'!$F$5=TH!H1325,OR(N1325="331",O1325="331")),"x","")</f>
        <v/>
      </c>
      <c r="Q1325" s="47" t="str">
        <f>IF(AND(B1325='111'!$L$11,OR($N1325=$Q$7,$O1325=$Q$7)),"x","")</f>
        <v/>
      </c>
      <c r="R1325" s="47" t="str">
        <f>IF(AND($N1325=$Q$7,$B1325&lt;'111'!$L$11),"x","")</f>
        <v/>
      </c>
      <c r="S1325" s="47" t="str">
        <f>IF(AND($O1325=$Q$7,$B1325&lt;'111'!$L$11),"x","")</f>
        <v>x</v>
      </c>
    </row>
    <row r="1326" spans="1:19" ht="15.75" customHeight="1">
      <c r="A1326" s="152" t="str">
        <f>IF(B1326&lt;&gt;"",IF(AND(B1326='IN-TC'!$S$4,OR(TH!N1326="1111",TH!O1326="1111")),TH!D1326,""),"")</f>
        <v/>
      </c>
      <c r="B1326" s="34">
        <f t="shared" si="45"/>
        <v>8</v>
      </c>
      <c r="C1326" s="35">
        <f t="shared" si="46"/>
        <v>42594</v>
      </c>
      <c r="D1326" s="212" t="s">
        <v>916</v>
      </c>
      <c r="E1326" s="35">
        <v>42594</v>
      </c>
      <c r="F1326" s="144" t="s">
        <v>1106</v>
      </c>
      <c r="G1326" s="191"/>
      <c r="H1326" s="198"/>
      <c r="I1326" s="186"/>
      <c r="J1326" s="186"/>
      <c r="K1326" s="185"/>
      <c r="L1326" s="186"/>
      <c r="M1326" s="36">
        <v>5000000</v>
      </c>
      <c r="N1326" s="37"/>
      <c r="O1326" s="37" t="s">
        <v>34</v>
      </c>
      <c r="P1326" s="47" t="str">
        <f>IF(AND('331-CT'!$F$5=TH!H1326,OR(N1326="331",O1326="331")),"x","")</f>
        <v/>
      </c>
      <c r="Q1326" s="47" t="str">
        <f>IF(AND(B1326='111'!$L$11,OR($N1326=$Q$7,$O1326=$Q$7)),"x","")</f>
        <v/>
      </c>
      <c r="R1326" s="47" t="str">
        <f>IF(AND($N1326=$Q$7,$B1326&lt;'111'!$L$11),"x","")</f>
        <v/>
      </c>
      <c r="S1326" s="47" t="str">
        <f>IF(AND($O1326=$Q$7,$B1326&lt;'111'!$L$11),"x","")</f>
        <v>x</v>
      </c>
    </row>
    <row r="1327" spans="1:19" ht="15.75" customHeight="1">
      <c r="A1327" s="152" t="str">
        <f>IF(B1327&lt;&gt;"",IF(AND(B1327='IN-TC'!$S$4,OR(TH!N1327="1111",TH!O1327="1111")),TH!D1327,""),"")</f>
        <v/>
      </c>
      <c r="B1327" s="34">
        <f t="shared" si="45"/>
        <v>8</v>
      </c>
      <c r="C1327" s="35">
        <f t="shared" si="46"/>
        <v>42594</v>
      </c>
      <c r="D1327" s="212" t="s">
        <v>917</v>
      </c>
      <c r="E1327" s="35">
        <v>42594</v>
      </c>
      <c r="F1327" s="144" t="s">
        <v>1107</v>
      </c>
      <c r="G1327" s="191"/>
      <c r="H1327" s="198"/>
      <c r="I1327" s="186"/>
      <c r="J1327" s="186"/>
      <c r="K1327" s="185"/>
      <c r="L1327" s="186"/>
      <c r="M1327" s="36">
        <v>100000</v>
      </c>
      <c r="N1327" s="37"/>
      <c r="O1327" s="37" t="s">
        <v>34</v>
      </c>
      <c r="P1327" s="47" t="str">
        <f>IF(AND('331-CT'!$F$5=TH!H1327,OR(N1327="331",O1327="331")),"x","")</f>
        <v/>
      </c>
      <c r="Q1327" s="47" t="str">
        <f>IF(AND(B1327='111'!$L$11,OR($N1327=$Q$7,$O1327=$Q$7)),"x","")</f>
        <v/>
      </c>
      <c r="R1327" s="47" t="str">
        <f>IF(AND($N1327=$Q$7,$B1327&lt;'111'!$L$11),"x","")</f>
        <v/>
      </c>
      <c r="S1327" s="47" t="str">
        <f>IF(AND($O1327=$Q$7,$B1327&lt;'111'!$L$11),"x","")</f>
        <v>x</v>
      </c>
    </row>
    <row r="1328" spans="1:19" ht="15.75" customHeight="1">
      <c r="A1328" s="152" t="str">
        <f>IF(B1328&lt;&gt;"",IF(AND(B1328='IN-TC'!$S$4,OR(TH!N1328="1111",TH!O1328="1111")),TH!D1328,""),"")</f>
        <v/>
      </c>
      <c r="B1328" s="34">
        <f t="shared" si="45"/>
        <v>8</v>
      </c>
      <c r="C1328" s="35">
        <f t="shared" si="46"/>
        <v>42594</v>
      </c>
      <c r="D1328" s="212" t="s">
        <v>1012</v>
      </c>
      <c r="E1328" s="35">
        <v>42594</v>
      </c>
      <c r="F1328" s="144" t="s">
        <v>1108</v>
      </c>
      <c r="G1328" s="191" t="s">
        <v>115</v>
      </c>
      <c r="H1328" s="198"/>
      <c r="I1328" s="186"/>
      <c r="J1328" s="186"/>
      <c r="K1328" s="185"/>
      <c r="L1328" s="186"/>
      <c r="M1328" s="36">
        <v>1204000</v>
      </c>
      <c r="N1328" s="37" t="s">
        <v>34</v>
      </c>
      <c r="O1328" s="37"/>
      <c r="P1328" s="47" t="str">
        <f>IF(AND('331-CT'!$F$5=TH!H1328,OR(N1328="331",O1328="331")),"x","")</f>
        <v/>
      </c>
      <c r="Q1328" s="47" t="str">
        <f>IF(AND(B1328='111'!$L$11,OR($N1328=$Q$7,$O1328=$Q$7)),"x","")</f>
        <v/>
      </c>
      <c r="R1328" s="47" t="str">
        <f>IF(AND($N1328=$Q$7,$B1328&lt;'111'!$L$11),"x","")</f>
        <v>x</v>
      </c>
      <c r="S1328" s="47" t="str">
        <f>IF(AND($O1328=$Q$7,$B1328&lt;'111'!$L$11),"x","")</f>
        <v/>
      </c>
    </row>
    <row r="1329" spans="1:19" ht="15.75" customHeight="1">
      <c r="A1329" s="152" t="str">
        <f>IF(B1329&lt;&gt;"",IF(AND(B1329='IN-TC'!$S$4,OR(TH!N1329="1111",TH!O1329="1111")),TH!D1329,""),"")</f>
        <v/>
      </c>
      <c r="B1329" s="34">
        <f t="shared" si="45"/>
        <v>8</v>
      </c>
      <c r="C1329" s="35">
        <f t="shared" si="46"/>
        <v>42594</v>
      </c>
      <c r="D1329" s="212" t="s">
        <v>1013</v>
      </c>
      <c r="E1329" s="35">
        <v>42594</v>
      </c>
      <c r="F1329" s="144" t="s">
        <v>1109</v>
      </c>
      <c r="G1329" s="191" t="s">
        <v>110</v>
      </c>
      <c r="H1329" s="198"/>
      <c r="I1329" s="186"/>
      <c r="J1329" s="186"/>
      <c r="K1329" s="185"/>
      <c r="L1329" s="186"/>
      <c r="M1329" s="36">
        <v>3000000</v>
      </c>
      <c r="N1329" s="37" t="s">
        <v>34</v>
      </c>
      <c r="O1329" s="37"/>
      <c r="P1329" s="47" t="str">
        <f>IF(AND('331-CT'!$F$5=TH!H1329,OR(N1329="331",O1329="331")),"x","")</f>
        <v/>
      </c>
      <c r="Q1329" s="47" t="str">
        <f>IF(AND(B1329='111'!$L$11,OR($N1329=$Q$7,$O1329=$Q$7)),"x","")</f>
        <v/>
      </c>
      <c r="R1329" s="47" t="str">
        <f>IF(AND($N1329=$Q$7,$B1329&lt;'111'!$L$11),"x","")</f>
        <v>x</v>
      </c>
      <c r="S1329" s="47" t="str">
        <f>IF(AND($O1329=$Q$7,$B1329&lt;'111'!$L$11),"x","")</f>
        <v/>
      </c>
    </row>
    <row r="1330" spans="1:19" ht="15.75" customHeight="1">
      <c r="A1330" s="152" t="str">
        <f>IF(B1330&lt;&gt;"",IF(AND(B1330='IN-TC'!$S$4,OR(TH!N1330="1111",TH!O1330="1111")),TH!D1330,""),"")</f>
        <v/>
      </c>
      <c r="B1330" s="34">
        <f t="shared" si="45"/>
        <v>8</v>
      </c>
      <c r="C1330" s="35">
        <f t="shared" si="46"/>
        <v>42594</v>
      </c>
      <c r="D1330" s="212" t="s">
        <v>918</v>
      </c>
      <c r="E1330" s="35">
        <v>42594</v>
      </c>
      <c r="F1330" s="144" t="s">
        <v>1110</v>
      </c>
      <c r="G1330" s="191"/>
      <c r="H1330" s="198"/>
      <c r="I1330" s="186"/>
      <c r="J1330" s="186"/>
      <c r="K1330" s="185"/>
      <c r="L1330" s="186"/>
      <c r="M1330" s="36">
        <v>2600000</v>
      </c>
      <c r="N1330" s="37"/>
      <c r="O1330" s="37" t="s">
        <v>34</v>
      </c>
      <c r="P1330" s="47" t="str">
        <f>IF(AND('331-CT'!$F$5=TH!H1330,OR(N1330="331",O1330="331")),"x","")</f>
        <v/>
      </c>
      <c r="Q1330" s="47" t="str">
        <f>IF(AND(B1330='111'!$L$11,OR($N1330=$Q$7,$O1330=$Q$7)),"x","")</f>
        <v/>
      </c>
      <c r="R1330" s="47" t="str">
        <f>IF(AND($N1330=$Q$7,$B1330&lt;'111'!$L$11),"x","")</f>
        <v/>
      </c>
      <c r="S1330" s="47" t="str">
        <f>IF(AND($O1330=$Q$7,$B1330&lt;'111'!$L$11),"x","")</f>
        <v>x</v>
      </c>
    </row>
    <row r="1331" spans="1:19" ht="15.75" customHeight="1">
      <c r="A1331" s="152" t="str">
        <f>IF(B1331&lt;&gt;"",IF(AND(B1331='IN-TC'!$S$4,OR(TH!N1331="1111",TH!O1331="1111")),TH!D1331,""),"")</f>
        <v/>
      </c>
      <c r="B1331" s="34">
        <f t="shared" si="45"/>
        <v>8</v>
      </c>
      <c r="C1331" s="35">
        <f t="shared" si="46"/>
        <v>42594</v>
      </c>
      <c r="D1331" s="212" t="s">
        <v>919</v>
      </c>
      <c r="E1331" s="35">
        <v>42594</v>
      </c>
      <c r="F1331" s="144" t="s">
        <v>722</v>
      </c>
      <c r="G1331" s="191"/>
      <c r="H1331" s="198"/>
      <c r="I1331" s="186"/>
      <c r="J1331" s="186"/>
      <c r="K1331" s="185"/>
      <c r="L1331" s="186"/>
      <c r="M1331" s="36">
        <v>1175000</v>
      </c>
      <c r="N1331" s="37"/>
      <c r="O1331" s="37" t="s">
        <v>34</v>
      </c>
      <c r="P1331" s="47" t="str">
        <f>IF(AND('331-CT'!$F$5=TH!H1331,OR(N1331="331",O1331="331")),"x","")</f>
        <v/>
      </c>
      <c r="Q1331" s="47" t="str">
        <f>IF(AND(B1331='111'!$L$11,OR($N1331=$Q$7,$O1331=$Q$7)),"x","")</f>
        <v/>
      </c>
      <c r="R1331" s="47" t="str">
        <f>IF(AND($N1331=$Q$7,$B1331&lt;'111'!$L$11),"x","")</f>
        <v/>
      </c>
      <c r="S1331" s="47" t="str">
        <f>IF(AND($O1331=$Q$7,$B1331&lt;'111'!$L$11),"x","")</f>
        <v>x</v>
      </c>
    </row>
    <row r="1332" spans="1:19" ht="15.75" customHeight="1">
      <c r="A1332" s="152" t="str">
        <f>IF(B1332&lt;&gt;"",IF(AND(B1332='IN-TC'!$S$4,OR(TH!N1332="1111",TH!O1332="1111")),TH!D1332,""),"")</f>
        <v/>
      </c>
      <c r="B1332" s="34">
        <f t="shared" si="45"/>
        <v>8</v>
      </c>
      <c r="C1332" s="35">
        <f t="shared" si="46"/>
        <v>42594</v>
      </c>
      <c r="D1332" s="212" t="s">
        <v>920</v>
      </c>
      <c r="E1332" s="35">
        <v>42594</v>
      </c>
      <c r="F1332" s="144" t="s">
        <v>1111</v>
      </c>
      <c r="G1332" s="191"/>
      <c r="H1332" s="198"/>
      <c r="I1332" s="186"/>
      <c r="J1332" s="186"/>
      <c r="K1332" s="185"/>
      <c r="L1332" s="186"/>
      <c r="M1332" s="36">
        <v>1000000</v>
      </c>
      <c r="N1332" s="37"/>
      <c r="O1332" s="37" t="s">
        <v>34</v>
      </c>
      <c r="P1332" s="47" t="str">
        <f>IF(AND('331-CT'!$F$5=TH!H1332,OR(N1332="331",O1332="331")),"x","")</f>
        <v/>
      </c>
      <c r="Q1332" s="47" t="str">
        <f>IF(AND(B1332='111'!$L$11,OR($N1332=$Q$7,$O1332=$Q$7)),"x","")</f>
        <v/>
      </c>
      <c r="R1332" s="47" t="str">
        <f>IF(AND($N1332=$Q$7,$B1332&lt;'111'!$L$11),"x","")</f>
        <v/>
      </c>
      <c r="S1332" s="47" t="str">
        <f>IF(AND($O1332=$Q$7,$B1332&lt;'111'!$L$11),"x","")</f>
        <v>x</v>
      </c>
    </row>
    <row r="1333" spans="1:19" ht="15.75" customHeight="1">
      <c r="A1333" s="152" t="str">
        <f>IF(B1333&lt;&gt;"",IF(AND(B1333='IN-TC'!$S$4,OR(TH!N1333="1111",TH!O1333="1111")),TH!D1333,""),"")</f>
        <v/>
      </c>
      <c r="B1333" s="34">
        <f t="shared" si="45"/>
        <v>8</v>
      </c>
      <c r="C1333" s="35">
        <f t="shared" si="46"/>
        <v>42594</v>
      </c>
      <c r="D1333" s="212" t="s">
        <v>921</v>
      </c>
      <c r="E1333" s="35">
        <v>42594</v>
      </c>
      <c r="F1333" s="144" t="s">
        <v>1112</v>
      </c>
      <c r="G1333" s="191"/>
      <c r="H1333" s="198"/>
      <c r="I1333" s="186"/>
      <c r="J1333" s="186"/>
      <c r="K1333" s="185"/>
      <c r="L1333" s="186"/>
      <c r="M1333" s="36">
        <v>1060000</v>
      </c>
      <c r="N1333" s="37"/>
      <c r="O1333" s="37" t="s">
        <v>34</v>
      </c>
      <c r="P1333" s="47" t="str">
        <f>IF(AND('331-CT'!$F$5=TH!H1333,OR(N1333="331",O1333="331")),"x","")</f>
        <v/>
      </c>
      <c r="Q1333" s="47" t="str">
        <f>IF(AND(B1333='111'!$L$11,OR($N1333=$Q$7,$O1333=$Q$7)),"x","")</f>
        <v/>
      </c>
      <c r="R1333" s="47" t="str">
        <f>IF(AND($N1333=$Q$7,$B1333&lt;'111'!$L$11),"x","")</f>
        <v/>
      </c>
      <c r="S1333" s="47" t="str">
        <f>IF(AND($O1333=$Q$7,$B1333&lt;'111'!$L$11),"x","")</f>
        <v>x</v>
      </c>
    </row>
    <row r="1334" spans="1:19" ht="15.75" customHeight="1">
      <c r="A1334" s="152" t="str">
        <f>IF(B1334&lt;&gt;"",IF(AND(B1334='IN-TC'!$S$4,OR(TH!N1334="1111",TH!O1334="1111")),TH!D1334,""),"")</f>
        <v/>
      </c>
      <c r="B1334" s="34">
        <f t="shared" si="45"/>
        <v>8</v>
      </c>
      <c r="C1334" s="35">
        <f t="shared" si="46"/>
        <v>42594</v>
      </c>
      <c r="D1334" s="212" t="s">
        <v>922</v>
      </c>
      <c r="E1334" s="35">
        <v>42594</v>
      </c>
      <c r="F1334" s="144" t="s">
        <v>1113</v>
      </c>
      <c r="G1334" s="191"/>
      <c r="H1334" s="198"/>
      <c r="I1334" s="186"/>
      <c r="J1334" s="186"/>
      <c r="K1334" s="185"/>
      <c r="L1334" s="186"/>
      <c r="M1334" s="36">
        <v>200000</v>
      </c>
      <c r="N1334" s="37"/>
      <c r="O1334" s="37" t="s">
        <v>34</v>
      </c>
      <c r="P1334" s="47" t="str">
        <f>IF(AND('331-CT'!$F$5=TH!H1334,OR(N1334="331",O1334="331")),"x","")</f>
        <v/>
      </c>
      <c r="Q1334" s="47" t="str">
        <f>IF(AND(B1334='111'!$L$11,OR($N1334=$Q$7,$O1334=$Q$7)),"x","")</f>
        <v/>
      </c>
      <c r="R1334" s="47" t="str">
        <f>IF(AND($N1334=$Q$7,$B1334&lt;'111'!$L$11),"x","")</f>
        <v/>
      </c>
      <c r="S1334" s="47" t="str">
        <f>IF(AND($O1334=$Q$7,$B1334&lt;'111'!$L$11),"x","")</f>
        <v>x</v>
      </c>
    </row>
    <row r="1335" spans="1:19" ht="15.75" customHeight="1">
      <c r="A1335" s="152" t="str">
        <f>IF(B1335&lt;&gt;"",IF(AND(B1335='IN-TC'!$S$4,OR(TH!N1335="1111",TH!O1335="1111")),TH!D1335,""),"")</f>
        <v/>
      </c>
      <c r="B1335" s="34">
        <f t="shared" si="45"/>
        <v>8</v>
      </c>
      <c r="C1335" s="35">
        <f t="shared" si="46"/>
        <v>42595</v>
      </c>
      <c r="D1335" s="212"/>
      <c r="E1335" s="35">
        <v>42595</v>
      </c>
      <c r="F1335" s="144" t="s">
        <v>1467</v>
      </c>
      <c r="G1335" s="191"/>
      <c r="H1335" s="198" t="s">
        <v>831</v>
      </c>
      <c r="I1335" s="186">
        <v>1700</v>
      </c>
      <c r="J1335" s="186">
        <v>12000</v>
      </c>
      <c r="K1335" s="185"/>
      <c r="L1335" s="186"/>
      <c r="M1335" s="36">
        <f>ROUND(I1335*J1335,0)</f>
        <v>20400000</v>
      </c>
      <c r="N1335" s="37" t="s">
        <v>1443</v>
      </c>
      <c r="O1335" s="37" t="s">
        <v>8</v>
      </c>
      <c r="P1335" s="47" t="str">
        <f>IF(AND('331-CT'!$F$5=TH!H1335,OR(N1335="331",O1335="331")),"x","")</f>
        <v/>
      </c>
      <c r="Q1335" s="47" t="str">
        <f>IF(AND(B1335='111'!$L$11,OR($N1335=$Q$7,$O1335=$Q$7)),"x","")</f>
        <v/>
      </c>
      <c r="R1335" s="47" t="str">
        <f>IF(AND($N1335=$Q$7,$B1335&lt;'111'!$L$11),"x","")</f>
        <v/>
      </c>
      <c r="S1335" s="47" t="str">
        <f>IF(AND($O1335=$Q$7,$B1335&lt;'111'!$L$11),"x","")</f>
        <v/>
      </c>
    </row>
    <row r="1336" spans="1:19" ht="15.75" customHeight="1">
      <c r="A1336" s="152" t="str">
        <f>IF(B1336&lt;&gt;"",IF(AND(B1336='IN-TC'!$S$4,OR(TH!N1336="1111",TH!O1336="1111")),TH!D1336,""),"")</f>
        <v/>
      </c>
      <c r="B1336" s="34">
        <f t="shared" si="45"/>
        <v>8</v>
      </c>
      <c r="C1336" s="35">
        <f t="shared" si="46"/>
        <v>42596</v>
      </c>
      <c r="D1336" s="212"/>
      <c r="E1336" s="35">
        <v>42596</v>
      </c>
      <c r="F1336" s="144" t="s">
        <v>1440</v>
      </c>
      <c r="G1336" s="191"/>
      <c r="H1336" s="198" t="s">
        <v>839</v>
      </c>
      <c r="I1336" s="186">
        <v>6830</v>
      </c>
      <c r="J1336" s="186">
        <v>44000</v>
      </c>
      <c r="K1336" s="185"/>
      <c r="L1336" s="186"/>
      <c r="M1336" s="36">
        <f>ROUND(I1336*J1336,0)</f>
        <v>300520000</v>
      </c>
      <c r="N1336" s="37" t="s">
        <v>1443</v>
      </c>
      <c r="O1336" s="37" t="s">
        <v>8</v>
      </c>
      <c r="P1336" s="47" t="str">
        <f>IF(AND('331-CT'!$F$5=TH!H1336,OR(N1336="331",O1336="331")),"x","")</f>
        <v/>
      </c>
      <c r="Q1336" s="47" t="str">
        <f>IF(AND(B1336='111'!$L$11,OR($N1336=$Q$7,$O1336=$Q$7)),"x","")</f>
        <v/>
      </c>
      <c r="R1336" s="47" t="str">
        <f>IF(AND($N1336=$Q$7,$B1336&lt;'111'!$L$11),"x","")</f>
        <v/>
      </c>
      <c r="S1336" s="47" t="str">
        <f>IF(AND($O1336=$Q$7,$B1336&lt;'111'!$L$11),"x","")</f>
        <v/>
      </c>
    </row>
    <row r="1337" spans="1:19" ht="15.75" customHeight="1">
      <c r="A1337" s="152" t="str">
        <f>IF(B1337&lt;&gt;"",IF(AND(B1337='IN-TC'!$S$4,OR(TH!N1337="1111",TH!O1337="1111")),TH!D1337,""),"")</f>
        <v/>
      </c>
      <c r="B1337" s="34">
        <f t="shared" si="45"/>
        <v>8</v>
      </c>
      <c r="C1337" s="35">
        <f t="shared" si="46"/>
        <v>42598</v>
      </c>
      <c r="D1337" s="212" t="s">
        <v>1014</v>
      </c>
      <c r="E1337" s="35">
        <v>42598</v>
      </c>
      <c r="F1337" s="144" t="s">
        <v>1019</v>
      </c>
      <c r="G1337" s="191" t="s">
        <v>104</v>
      </c>
      <c r="H1337" s="198"/>
      <c r="I1337" s="186"/>
      <c r="J1337" s="186"/>
      <c r="K1337" s="185"/>
      <c r="L1337" s="186"/>
      <c r="M1337" s="36">
        <v>415600000</v>
      </c>
      <c r="N1337" s="37" t="s">
        <v>34</v>
      </c>
      <c r="O1337" s="37"/>
      <c r="P1337" s="47" t="str">
        <f>IF(AND('331-CT'!$F$5=TH!H1337,OR(N1337="331",O1337="331")),"x","")</f>
        <v/>
      </c>
      <c r="Q1337" s="47" t="str">
        <f>IF(AND(B1337='111'!$L$11,OR($N1337=$Q$7,$O1337=$Q$7)),"x","")</f>
        <v/>
      </c>
      <c r="R1337" s="47" t="str">
        <f>IF(AND($N1337=$Q$7,$B1337&lt;'111'!$L$11),"x","")</f>
        <v>x</v>
      </c>
      <c r="S1337" s="47" t="str">
        <f>IF(AND($O1337=$Q$7,$B1337&lt;'111'!$L$11),"x","")</f>
        <v/>
      </c>
    </row>
    <row r="1338" spans="1:19" ht="15.75" customHeight="1">
      <c r="A1338" s="152" t="str">
        <f>IF(B1338&lt;&gt;"",IF(AND(B1338='IN-TC'!$S$4,OR(TH!N1338="1111",TH!O1338="1111")),TH!D1338,""),"")</f>
        <v/>
      </c>
      <c r="B1338" s="34">
        <f t="shared" si="45"/>
        <v>8</v>
      </c>
      <c r="C1338" s="35">
        <f t="shared" si="46"/>
        <v>42598</v>
      </c>
      <c r="D1338" s="212" t="s">
        <v>923</v>
      </c>
      <c r="E1338" s="35">
        <v>42598</v>
      </c>
      <c r="F1338" s="144" t="s">
        <v>1114</v>
      </c>
      <c r="G1338" s="191" t="s">
        <v>204</v>
      </c>
      <c r="H1338" s="198"/>
      <c r="I1338" s="186"/>
      <c r="J1338" s="186"/>
      <c r="K1338" s="185"/>
      <c r="L1338" s="186"/>
      <c r="M1338" s="36">
        <v>330000000</v>
      </c>
      <c r="N1338" s="37"/>
      <c r="O1338" s="37" t="s">
        <v>34</v>
      </c>
      <c r="P1338" s="47" t="str">
        <f>IF(AND('331-CT'!$F$5=TH!H1338,OR(N1338="331",O1338="331")),"x","")</f>
        <v/>
      </c>
      <c r="Q1338" s="47" t="str">
        <f>IF(AND(B1338='111'!$L$11,OR($N1338=$Q$7,$O1338=$Q$7)),"x","")</f>
        <v/>
      </c>
      <c r="R1338" s="47" t="str">
        <f>IF(AND($N1338=$Q$7,$B1338&lt;'111'!$L$11),"x","")</f>
        <v/>
      </c>
      <c r="S1338" s="47" t="str">
        <f>IF(AND($O1338=$Q$7,$B1338&lt;'111'!$L$11),"x","")</f>
        <v>x</v>
      </c>
    </row>
    <row r="1339" spans="1:19" ht="15.75" customHeight="1">
      <c r="A1339" s="152" t="str">
        <f>IF(B1339&lt;&gt;"",IF(AND(B1339='IN-TC'!$S$4,OR(TH!N1339="1111",TH!O1339="1111")),TH!D1339,""),"")</f>
        <v/>
      </c>
      <c r="B1339" s="34">
        <f t="shared" si="45"/>
        <v>8</v>
      </c>
      <c r="C1339" s="35">
        <f t="shared" si="46"/>
        <v>42598</v>
      </c>
      <c r="D1339" s="212" t="s">
        <v>924</v>
      </c>
      <c r="E1339" s="35">
        <v>42598</v>
      </c>
      <c r="F1339" s="144" t="s">
        <v>671</v>
      </c>
      <c r="G1339" s="191" t="s">
        <v>207</v>
      </c>
      <c r="H1339" s="198"/>
      <c r="I1339" s="186"/>
      <c r="J1339" s="186"/>
      <c r="K1339" s="185"/>
      <c r="L1339" s="186"/>
      <c r="M1339" s="36">
        <v>1000000</v>
      </c>
      <c r="N1339" s="37"/>
      <c r="O1339" s="37" t="s">
        <v>34</v>
      </c>
      <c r="P1339" s="47" t="str">
        <f>IF(AND('331-CT'!$F$5=TH!H1339,OR(N1339="331",O1339="331")),"x","")</f>
        <v/>
      </c>
      <c r="Q1339" s="47" t="str">
        <f>IF(AND(B1339='111'!$L$11,OR($N1339=$Q$7,$O1339=$Q$7)),"x","")</f>
        <v/>
      </c>
      <c r="R1339" s="47" t="str">
        <f>IF(AND($N1339=$Q$7,$B1339&lt;'111'!$L$11),"x","")</f>
        <v/>
      </c>
      <c r="S1339" s="47" t="str">
        <f>IF(AND($O1339=$Q$7,$B1339&lt;'111'!$L$11),"x","")</f>
        <v>x</v>
      </c>
    </row>
    <row r="1340" spans="1:19" ht="15.75" customHeight="1">
      <c r="A1340" s="152" t="str">
        <f>IF(B1340&lt;&gt;"",IF(AND(B1340='IN-TC'!$S$4,OR(TH!N1340="1111",TH!O1340="1111")),TH!D1340,""),"")</f>
        <v/>
      </c>
      <c r="B1340" s="34">
        <f t="shared" si="45"/>
        <v>8</v>
      </c>
      <c r="C1340" s="35">
        <f t="shared" si="46"/>
        <v>42598</v>
      </c>
      <c r="D1340" s="212" t="s">
        <v>925</v>
      </c>
      <c r="E1340" s="35">
        <v>42598</v>
      </c>
      <c r="F1340" s="144" t="s">
        <v>1115</v>
      </c>
      <c r="G1340" s="191"/>
      <c r="H1340" s="198"/>
      <c r="I1340" s="186"/>
      <c r="J1340" s="186"/>
      <c r="K1340" s="185"/>
      <c r="L1340" s="186"/>
      <c r="M1340" s="36">
        <v>940000</v>
      </c>
      <c r="N1340" s="37"/>
      <c r="O1340" s="37" t="s">
        <v>34</v>
      </c>
      <c r="P1340" s="47" t="str">
        <f>IF(AND('331-CT'!$F$5=TH!H1340,OR(N1340="331",O1340="331")),"x","")</f>
        <v/>
      </c>
      <c r="Q1340" s="47" t="str">
        <f>IF(AND(B1340='111'!$L$11,OR($N1340=$Q$7,$O1340=$Q$7)),"x","")</f>
        <v/>
      </c>
      <c r="R1340" s="47" t="str">
        <f>IF(AND($N1340=$Q$7,$B1340&lt;'111'!$L$11),"x","")</f>
        <v/>
      </c>
      <c r="S1340" s="47" t="str">
        <f>IF(AND($O1340=$Q$7,$B1340&lt;'111'!$L$11),"x","")</f>
        <v>x</v>
      </c>
    </row>
    <row r="1341" spans="1:19" ht="15.75" customHeight="1">
      <c r="A1341" s="152" t="str">
        <f>IF(B1341&lt;&gt;"",IF(AND(B1341='IN-TC'!$S$4,OR(TH!N1341="1111",TH!O1341="1111")),TH!D1341,""),"")</f>
        <v/>
      </c>
      <c r="B1341" s="34">
        <f t="shared" si="45"/>
        <v>8</v>
      </c>
      <c r="C1341" s="35">
        <f t="shared" si="46"/>
        <v>42598</v>
      </c>
      <c r="D1341" s="212" t="s">
        <v>926</v>
      </c>
      <c r="E1341" s="35">
        <v>42598</v>
      </c>
      <c r="F1341" s="144" t="s">
        <v>1022</v>
      </c>
      <c r="G1341" s="191"/>
      <c r="H1341" s="198"/>
      <c r="I1341" s="186"/>
      <c r="J1341" s="186"/>
      <c r="K1341" s="185"/>
      <c r="L1341" s="186"/>
      <c r="M1341" s="36">
        <v>110975000</v>
      </c>
      <c r="N1341" s="37"/>
      <c r="O1341" s="37" t="s">
        <v>34</v>
      </c>
      <c r="P1341" s="47" t="str">
        <f>IF(AND('331-CT'!$F$5=TH!H1341,OR(N1341="331",O1341="331")),"x","")</f>
        <v/>
      </c>
      <c r="Q1341" s="47" t="str">
        <f>IF(AND(B1341='111'!$L$11,OR($N1341=$Q$7,$O1341=$Q$7)),"x","")</f>
        <v/>
      </c>
      <c r="R1341" s="47" t="str">
        <f>IF(AND($N1341=$Q$7,$B1341&lt;'111'!$L$11),"x","")</f>
        <v/>
      </c>
      <c r="S1341" s="47" t="str">
        <f>IF(AND($O1341=$Q$7,$B1341&lt;'111'!$L$11),"x","")</f>
        <v>x</v>
      </c>
    </row>
    <row r="1342" spans="1:19" ht="15.75" customHeight="1">
      <c r="A1342" s="152" t="str">
        <f>IF(B1342&lt;&gt;"",IF(AND(B1342='IN-TC'!$S$4,OR(TH!N1342="1111",TH!O1342="1111")),TH!D1342,""),"")</f>
        <v/>
      </c>
      <c r="B1342" s="34">
        <f t="shared" si="45"/>
        <v>8</v>
      </c>
      <c r="C1342" s="35">
        <f t="shared" si="46"/>
        <v>42598</v>
      </c>
      <c r="D1342" s="212" t="s">
        <v>927</v>
      </c>
      <c r="E1342" s="35">
        <v>42598</v>
      </c>
      <c r="F1342" s="144" t="s">
        <v>1116</v>
      </c>
      <c r="G1342" s="191"/>
      <c r="H1342" s="198"/>
      <c r="I1342" s="186"/>
      <c r="J1342" s="186"/>
      <c r="K1342" s="185"/>
      <c r="L1342" s="186"/>
      <c r="M1342" s="36">
        <v>300000</v>
      </c>
      <c r="N1342" s="37"/>
      <c r="O1342" s="37" t="s">
        <v>34</v>
      </c>
      <c r="P1342" s="47" t="str">
        <f>IF(AND('331-CT'!$F$5=TH!H1342,OR(N1342="331",O1342="331")),"x","")</f>
        <v/>
      </c>
      <c r="Q1342" s="47" t="str">
        <f>IF(AND(B1342='111'!$L$11,OR($N1342=$Q$7,$O1342=$Q$7)),"x","")</f>
        <v/>
      </c>
      <c r="R1342" s="47" t="str">
        <f>IF(AND($N1342=$Q$7,$B1342&lt;'111'!$L$11),"x","")</f>
        <v/>
      </c>
      <c r="S1342" s="47" t="str">
        <f>IF(AND($O1342=$Q$7,$B1342&lt;'111'!$L$11),"x","")</f>
        <v>x</v>
      </c>
    </row>
    <row r="1343" spans="1:19" ht="15.75" customHeight="1">
      <c r="A1343" s="152" t="str">
        <f>IF(B1343&lt;&gt;"",IF(AND(B1343='IN-TC'!$S$4,OR(TH!N1343="1111",TH!O1343="1111")),TH!D1343,""),"")</f>
        <v/>
      </c>
      <c r="B1343" s="34">
        <f t="shared" si="45"/>
        <v>8</v>
      </c>
      <c r="C1343" s="35">
        <f t="shared" si="46"/>
        <v>42598</v>
      </c>
      <c r="D1343" s="212" t="s">
        <v>928</v>
      </c>
      <c r="E1343" s="35">
        <v>42598</v>
      </c>
      <c r="F1343" s="144" t="s">
        <v>1117</v>
      </c>
      <c r="G1343" s="191" t="s">
        <v>110</v>
      </c>
      <c r="H1343" s="198"/>
      <c r="I1343" s="186"/>
      <c r="J1343" s="186"/>
      <c r="K1343" s="185"/>
      <c r="L1343" s="186"/>
      <c r="M1343" s="36">
        <v>1000000</v>
      </c>
      <c r="N1343" s="37"/>
      <c r="O1343" s="37" t="s">
        <v>34</v>
      </c>
      <c r="P1343" s="47" t="str">
        <f>IF(AND('331-CT'!$F$5=TH!H1343,OR(N1343="331",O1343="331")),"x","")</f>
        <v/>
      </c>
      <c r="Q1343" s="47" t="str">
        <f>IF(AND(B1343='111'!$L$11,OR($N1343=$Q$7,$O1343=$Q$7)),"x","")</f>
        <v/>
      </c>
      <c r="R1343" s="47" t="str">
        <f>IF(AND($N1343=$Q$7,$B1343&lt;'111'!$L$11),"x","")</f>
        <v/>
      </c>
      <c r="S1343" s="47" t="str">
        <f>IF(AND($O1343=$Q$7,$B1343&lt;'111'!$L$11),"x","")</f>
        <v>x</v>
      </c>
    </row>
    <row r="1344" spans="1:19" ht="15.75" customHeight="1">
      <c r="A1344" s="152" t="str">
        <f>IF(B1344&lt;&gt;"",IF(AND(B1344='IN-TC'!$S$4,OR(TH!N1344="1111",TH!O1344="1111")),TH!D1344,""),"")</f>
        <v/>
      </c>
      <c r="B1344" s="34">
        <f t="shared" si="45"/>
        <v>8</v>
      </c>
      <c r="C1344" s="35">
        <f t="shared" si="46"/>
        <v>42598</v>
      </c>
      <c r="D1344" s="212" t="s">
        <v>929</v>
      </c>
      <c r="E1344" s="35">
        <v>42598</v>
      </c>
      <c r="F1344" s="144" t="s">
        <v>1118</v>
      </c>
      <c r="G1344" s="191"/>
      <c r="H1344" s="198"/>
      <c r="I1344" s="186"/>
      <c r="J1344" s="186"/>
      <c r="K1344" s="185"/>
      <c r="L1344" s="186"/>
      <c r="M1344" s="36">
        <v>230000</v>
      </c>
      <c r="N1344" s="37"/>
      <c r="O1344" s="37" t="s">
        <v>34</v>
      </c>
      <c r="P1344" s="47" t="str">
        <f>IF(AND('331-CT'!$F$5=TH!H1344,OR(N1344="331",O1344="331")),"x","")</f>
        <v/>
      </c>
      <c r="Q1344" s="47" t="str">
        <f>IF(AND(B1344='111'!$L$11,OR($N1344=$Q$7,$O1344=$Q$7)),"x","")</f>
        <v/>
      </c>
      <c r="R1344" s="47" t="str">
        <f>IF(AND($N1344=$Q$7,$B1344&lt;'111'!$L$11),"x","")</f>
        <v/>
      </c>
      <c r="S1344" s="47" t="str">
        <f>IF(AND($O1344=$Q$7,$B1344&lt;'111'!$L$11),"x","")</f>
        <v>x</v>
      </c>
    </row>
    <row r="1345" spans="1:19" ht="15.75" customHeight="1">
      <c r="A1345" s="152" t="str">
        <f>IF(B1345&lt;&gt;"",IF(AND(B1345='IN-TC'!$S$4,OR(TH!N1345="1111",TH!O1345="1111")),TH!D1345,""),"")</f>
        <v/>
      </c>
      <c r="B1345" s="34">
        <f t="shared" si="45"/>
        <v>8</v>
      </c>
      <c r="C1345" s="35">
        <f t="shared" si="46"/>
        <v>42598</v>
      </c>
      <c r="D1345" s="212"/>
      <c r="E1345" s="35">
        <v>42598</v>
      </c>
      <c r="F1345" s="144" t="s">
        <v>1467</v>
      </c>
      <c r="G1345" s="191"/>
      <c r="H1345" s="198" t="s">
        <v>831</v>
      </c>
      <c r="I1345" s="186">
        <v>790</v>
      </c>
      <c r="J1345" s="186">
        <v>12000</v>
      </c>
      <c r="K1345" s="185"/>
      <c r="L1345" s="186"/>
      <c r="M1345" s="36">
        <f>ROUND(I1345*J1345,0)</f>
        <v>9480000</v>
      </c>
      <c r="N1345" s="37" t="s">
        <v>1443</v>
      </c>
      <c r="O1345" s="37" t="s">
        <v>8</v>
      </c>
      <c r="P1345" s="47" t="str">
        <f>IF(AND('331-CT'!$F$5=TH!H1345,OR(N1345="331",O1345="331")),"x","")</f>
        <v/>
      </c>
      <c r="Q1345" s="47" t="str">
        <f>IF(AND(B1345='111'!$L$11,OR($N1345=$Q$7,$O1345=$Q$7)),"x","")</f>
        <v/>
      </c>
      <c r="R1345" s="47" t="str">
        <f>IF(AND($N1345=$Q$7,$B1345&lt;'111'!$L$11),"x","")</f>
        <v/>
      </c>
      <c r="S1345" s="47" t="str">
        <f>IF(AND($O1345=$Q$7,$B1345&lt;'111'!$L$11),"x","")</f>
        <v/>
      </c>
    </row>
    <row r="1346" spans="1:19" ht="15.75" customHeight="1">
      <c r="A1346" s="152" t="str">
        <f>IF(B1346&lt;&gt;"",IF(AND(B1346='IN-TC'!$S$4,OR(TH!N1346="1111",TH!O1346="1111")),TH!D1346,""),"")</f>
        <v/>
      </c>
      <c r="B1346" s="34">
        <f t="shared" si="45"/>
        <v>8</v>
      </c>
      <c r="C1346" s="35">
        <f t="shared" si="46"/>
        <v>42600</v>
      </c>
      <c r="D1346" s="212" t="s">
        <v>940</v>
      </c>
      <c r="E1346" s="35">
        <v>42600</v>
      </c>
      <c r="F1346" s="144" t="s">
        <v>279</v>
      </c>
      <c r="G1346" s="191"/>
      <c r="H1346" s="198"/>
      <c r="I1346" s="186"/>
      <c r="J1346" s="186"/>
      <c r="K1346" s="185"/>
      <c r="L1346" s="186"/>
      <c r="M1346" s="36">
        <v>610000</v>
      </c>
      <c r="N1346" s="37"/>
      <c r="O1346" s="37" t="s">
        <v>34</v>
      </c>
      <c r="P1346" s="47" t="str">
        <f>IF(AND('331-CT'!$F$5=TH!H1346,OR(N1346="331",O1346="331")),"x","")</f>
        <v/>
      </c>
      <c r="Q1346" s="47" t="str">
        <f>IF(AND(B1346='111'!$L$11,OR($N1346=$Q$7,$O1346=$Q$7)),"x","")</f>
        <v/>
      </c>
      <c r="R1346" s="47" t="str">
        <f>IF(AND($N1346=$Q$7,$B1346&lt;'111'!$L$11),"x","")</f>
        <v/>
      </c>
      <c r="S1346" s="47" t="str">
        <f>IF(AND($O1346=$Q$7,$B1346&lt;'111'!$L$11),"x","")</f>
        <v>x</v>
      </c>
    </row>
    <row r="1347" spans="1:19" ht="15.75" customHeight="1">
      <c r="A1347" s="152" t="str">
        <f>IF(B1347&lt;&gt;"",IF(AND(B1347='IN-TC'!$S$4,OR(TH!N1347="1111",TH!O1347="1111")),TH!D1347,""),"")</f>
        <v/>
      </c>
      <c r="B1347" s="34">
        <f t="shared" si="45"/>
        <v>8</v>
      </c>
      <c r="C1347" s="35">
        <f t="shared" si="46"/>
        <v>42600</v>
      </c>
      <c r="D1347" s="212" t="s">
        <v>941</v>
      </c>
      <c r="E1347" s="35">
        <v>42600</v>
      </c>
      <c r="F1347" s="144" t="s">
        <v>694</v>
      </c>
      <c r="G1347" s="191"/>
      <c r="H1347" s="198"/>
      <c r="I1347" s="186"/>
      <c r="J1347" s="186"/>
      <c r="K1347" s="185"/>
      <c r="L1347" s="186"/>
      <c r="M1347" s="36">
        <v>179000</v>
      </c>
      <c r="N1347" s="37"/>
      <c r="O1347" s="37" t="s">
        <v>34</v>
      </c>
      <c r="P1347" s="47" t="str">
        <f>IF(AND('331-CT'!$F$5=TH!H1347,OR(N1347="331",O1347="331")),"x","")</f>
        <v/>
      </c>
      <c r="Q1347" s="47" t="str">
        <f>IF(AND(B1347='111'!$L$11,OR($N1347=$Q$7,$O1347=$Q$7)),"x","")</f>
        <v/>
      </c>
      <c r="R1347" s="47" t="str">
        <f>IF(AND($N1347=$Q$7,$B1347&lt;'111'!$L$11),"x","")</f>
        <v/>
      </c>
      <c r="S1347" s="47" t="str">
        <f>IF(AND($O1347=$Q$7,$B1347&lt;'111'!$L$11),"x","")</f>
        <v>x</v>
      </c>
    </row>
    <row r="1348" spans="1:19" ht="15.75" customHeight="1">
      <c r="A1348" s="152" t="str">
        <f>IF(B1348&lt;&gt;"",IF(AND(B1348='IN-TC'!$S$4,OR(TH!N1348="1111",TH!O1348="1111")),TH!D1348,""),"")</f>
        <v/>
      </c>
      <c r="B1348" s="34">
        <f t="shared" si="45"/>
        <v>8</v>
      </c>
      <c r="C1348" s="35">
        <f t="shared" si="46"/>
        <v>42600</v>
      </c>
      <c r="D1348" s="212" t="s">
        <v>1015</v>
      </c>
      <c r="E1348" s="35">
        <v>42600</v>
      </c>
      <c r="F1348" s="144" t="s">
        <v>1119</v>
      </c>
      <c r="G1348" s="191" t="s">
        <v>104</v>
      </c>
      <c r="H1348" s="198"/>
      <c r="I1348" s="186"/>
      <c r="J1348" s="186"/>
      <c r="K1348" s="185"/>
      <c r="L1348" s="186"/>
      <c r="M1348" s="36">
        <v>1365000000</v>
      </c>
      <c r="N1348" s="37" t="s">
        <v>34</v>
      </c>
      <c r="O1348" s="37"/>
      <c r="P1348" s="47" t="str">
        <f>IF(AND('331-CT'!$F$5=TH!H1348,OR(N1348="331",O1348="331")),"x","")</f>
        <v/>
      </c>
      <c r="Q1348" s="47" t="str">
        <f>IF(AND(B1348='111'!$L$11,OR($N1348=$Q$7,$O1348=$Q$7)),"x","")</f>
        <v/>
      </c>
      <c r="R1348" s="47" t="str">
        <f>IF(AND($N1348=$Q$7,$B1348&lt;'111'!$L$11),"x","")</f>
        <v>x</v>
      </c>
      <c r="S1348" s="47" t="str">
        <f>IF(AND($O1348=$Q$7,$B1348&lt;'111'!$L$11),"x","")</f>
        <v/>
      </c>
    </row>
    <row r="1349" spans="1:19" ht="15.75" customHeight="1">
      <c r="A1349" s="152" t="str">
        <f>IF(B1349&lt;&gt;"",IF(AND(B1349='IN-TC'!$S$4,OR(TH!N1349="1111",TH!O1349="1111")),TH!D1349,""),"")</f>
        <v/>
      </c>
      <c r="B1349" s="34">
        <f t="shared" si="45"/>
        <v>8</v>
      </c>
      <c r="C1349" s="35">
        <f t="shared" si="46"/>
        <v>42600</v>
      </c>
      <c r="D1349" s="212" t="s">
        <v>942</v>
      </c>
      <c r="E1349" s="35">
        <v>42600</v>
      </c>
      <c r="F1349" s="144" t="s">
        <v>1058</v>
      </c>
      <c r="G1349" s="191" t="s">
        <v>204</v>
      </c>
      <c r="H1349" s="198"/>
      <c r="I1349" s="186"/>
      <c r="J1349" s="186"/>
      <c r="K1349" s="185"/>
      <c r="L1349" s="186"/>
      <c r="M1349" s="36">
        <v>20000000</v>
      </c>
      <c r="N1349" s="37"/>
      <c r="O1349" s="37" t="s">
        <v>34</v>
      </c>
      <c r="P1349" s="47" t="str">
        <f>IF(AND('331-CT'!$F$5=TH!H1349,OR(N1349="331",O1349="331")),"x","")</f>
        <v/>
      </c>
      <c r="Q1349" s="47" t="str">
        <f>IF(AND(B1349='111'!$L$11,OR($N1349=$Q$7,$O1349=$Q$7)),"x","")</f>
        <v/>
      </c>
      <c r="R1349" s="47" t="str">
        <f>IF(AND($N1349=$Q$7,$B1349&lt;'111'!$L$11),"x","")</f>
        <v/>
      </c>
      <c r="S1349" s="47" t="str">
        <f>IF(AND($O1349=$Q$7,$B1349&lt;'111'!$L$11),"x","")</f>
        <v>x</v>
      </c>
    </row>
    <row r="1350" spans="1:19" ht="15.75" customHeight="1">
      <c r="A1350" s="152" t="str">
        <f>IF(B1350&lt;&gt;"",IF(AND(B1350='IN-TC'!$S$4,OR(TH!N1350="1111",TH!O1350="1111")),TH!D1350,""),"")</f>
        <v/>
      </c>
      <c r="B1350" s="34">
        <f t="shared" si="45"/>
        <v>8</v>
      </c>
      <c r="C1350" s="35">
        <f t="shared" si="46"/>
        <v>42600</v>
      </c>
      <c r="D1350" s="212"/>
      <c r="E1350" s="35">
        <v>42600</v>
      </c>
      <c r="F1350" s="144" t="s">
        <v>1467</v>
      </c>
      <c r="G1350" s="191"/>
      <c r="H1350" s="198" t="s">
        <v>831</v>
      </c>
      <c r="I1350" s="186">
        <v>1190</v>
      </c>
      <c r="J1350" s="186">
        <v>10000</v>
      </c>
      <c r="K1350" s="185"/>
      <c r="L1350" s="186"/>
      <c r="M1350" s="36">
        <f>ROUND(I1350*J1350,0)</f>
        <v>11900000</v>
      </c>
      <c r="N1350" s="37" t="s">
        <v>1443</v>
      </c>
      <c r="O1350" s="37" t="s">
        <v>8</v>
      </c>
      <c r="P1350" s="47" t="str">
        <f>IF(AND('331-CT'!$F$5=TH!H1350,OR(N1350="331",O1350="331")),"x","")</f>
        <v/>
      </c>
      <c r="Q1350" s="47" t="str">
        <f>IF(AND(B1350='111'!$L$11,OR($N1350=$Q$7,$O1350=$Q$7)),"x","")</f>
        <v/>
      </c>
      <c r="R1350" s="47" t="str">
        <f>IF(AND($N1350=$Q$7,$B1350&lt;'111'!$L$11),"x","")</f>
        <v/>
      </c>
      <c r="S1350" s="47" t="str">
        <f>IF(AND($O1350=$Q$7,$B1350&lt;'111'!$L$11),"x","")</f>
        <v/>
      </c>
    </row>
    <row r="1351" spans="1:19" ht="15.75" customHeight="1">
      <c r="A1351" s="152" t="str">
        <f>IF(B1351&lt;&gt;"",IF(AND(B1351='IN-TC'!$S$4,OR(TH!N1351="1111",TH!O1351="1111")),TH!D1351,""),"")</f>
        <v/>
      </c>
      <c r="B1351" s="34">
        <f t="shared" si="45"/>
        <v>8</v>
      </c>
      <c r="C1351" s="35">
        <f t="shared" si="46"/>
        <v>42601</v>
      </c>
      <c r="D1351" s="212" t="s">
        <v>943</v>
      </c>
      <c r="E1351" s="35">
        <v>42601</v>
      </c>
      <c r="F1351" s="144" t="s">
        <v>1120</v>
      </c>
      <c r="G1351" s="191"/>
      <c r="H1351" s="198"/>
      <c r="I1351" s="186"/>
      <c r="J1351" s="186"/>
      <c r="K1351" s="185"/>
      <c r="L1351" s="186"/>
      <c r="M1351" s="36">
        <v>18200000</v>
      </c>
      <c r="N1351" s="37"/>
      <c r="O1351" s="37" t="s">
        <v>34</v>
      </c>
      <c r="P1351" s="47" t="str">
        <f>IF(AND('331-CT'!$F$5=TH!H1351,OR(N1351="331",O1351="331")),"x","")</f>
        <v/>
      </c>
      <c r="Q1351" s="47" t="str">
        <f>IF(AND(B1351='111'!$L$11,OR($N1351=$Q$7,$O1351=$Q$7)),"x","")</f>
        <v/>
      </c>
      <c r="R1351" s="47" t="str">
        <f>IF(AND($N1351=$Q$7,$B1351&lt;'111'!$L$11),"x","")</f>
        <v/>
      </c>
      <c r="S1351" s="47" t="str">
        <f>IF(AND($O1351=$Q$7,$B1351&lt;'111'!$L$11),"x","")</f>
        <v>x</v>
      </c>
    </row>
    <row r="1352" spans="1:19" ht="15.75" customHeight="1">
      <c r="A1352" s="152" t="str">
        <f>IF(B1352&lt;&gt;"",IF(AND(B1352='IN-TC'!$S$4,OR(TH!N1352="1111",TH!O1352="1111")),TH!D1352,""),"")</f>
        <v/>
      </c>
      <c r="B1352" s="34">
        <f t="shared" si="45"/>
        <v>8</v>
      </c>
      <c r="C1352" s="35">
        <f t="shared" si="46"/>
        <v>42601</v>
      </c>
      <c r="D1352" s="212" t="s">
        <v>944</v>
      </c>
      <c r="E1352" s="35">
        <v>42601</v>
      </c>
      <c r="F1352" s="144" t="s">
        <v>113</v>
      </c>
      <c r="G1352" s="191" t="s">
        <v>113</v>
      </c>
      <c r="H1352" s="198" t="s">
        <v>1121</v>
      </c>
      <c r="I1352" s="186"/>
      <c r="J1352" s="186"/>
      <c r="K1352" s="185"/>
      <c r="L1352" s="186"/>
      <c r="M1352" s="36">
        <v>269680000</v>
      </c>
      <c r="N1352" s="37"/>
      <c r="O1352" s="37" t="s">
        <v>34</v>
      </c>
      <c r="P1352" s="47" t="str">
        <f>IF(AND('331-CT'!$F$5=TH!H1352,OR(N1352="331",O1352="331")),"x","")</f>
        <v/>
      </c>
      <c r="Q1352" s="47" t="str">
        <f>IF(AND(B1352='111'!$L$11,OR($N1352=$Q$7,$O1352=$Q$7)),"x","")</f>
        <v/>
      </c>
      <c r="R1352" s="47" t="str">
        <f>IF(AND($N1352=$Q$7,$B1352&lt;'111'!$L$11),"x","")</f>
        <v/>
      </c>
      <c r="S1352" s="47" t="str">
        <f>IF(AND($O1352=$Q$7,$B1352&lt;'111'!$L$11),"x","")</f>
        <v>x</v>
      </c>
    </row>
    <row r="1353" spans="1:19" ht="15.75" customHeight="1">
      <c r="A1353" s="152" t="str">
        <f>IF(B1353&lt;&gt;"",IF(AND(B1353='IN-TC'!$S$4,OR(TH!N1353="1111",TH!O1353="1111")),TH!D1353,""),"")</f>
        <v/>
      </c>
      <c r="B1353" s="34">
        <f t="shared" si="45"/>
        <v>8</v>
      </c>
      <c r="C1353" s="35">
        <f t="shared" si="46"/>
        <v>42601</v>
      </c>
      <c r="D1353" s="212" t="s">
        <v>945</v>
      </c>
      <c r="E1353" s="35">
        <v>42601</v>
      </c>
      <c r="F1353" s="144" t="s">
        <v>714</v>
      </c>
      <c r="G1353" s="191" t="s">
        <v>212</v>
      </c>
      <c r="H1353" s="198"/>
      <c r="I1353" s="186"/>
      <c r="J1353" s="186"/>
      <c r="K1353" s="185"/>
      <c r="L1353" s="186"/>
      <c r="M1353" s="36">
        <v>80722000</v>
      </c>
      <c r="N1353" s="37"/>
      <c r="O1353" s="37" t="s">
        <v>34</v>
      </c>
      <c r="P1353" s="47" t="str">
        <f>IF(AND('331-CT'!$F$5=TH!H1353,OR(N1353="331",O1353="331")),"x","")</f>
        <v/>
      </c>
      <c r="Q1353" s="47" t="str">
        <f>IF(AND(B1353='111'!$L$11,OR($N1353=$Q$7,$O1353=$Q$7)),"x","")</f>
        <v/>
      </c>
      <c r="R1353" s="47" t="str">
        <f>IF(AND($N1353=$Q$7,$B1353&lt;'111'!$L$11),"x","")</f>
        <v/>
      </c>
      <c r="S1353" s="47" t="str">
        <f>IF(AND($O1353=$Q$7,$B1353&lt;'111'!$L$11),"x","")</f>
        <v>x</v>
      </c>
    </row>
    <row r="1354" spans="1:19" ht="15.75" customHeight="1">
      <c r="A1354" s="152" t="str">
        <f>IF(B1354&lt;&gt;"",IF(AND(B1354='IN-TC'!$S$4,OR(TH!N1354="1111",TH!O1354="1111")),TH!D1354,""),"")</f>
        <v/>
      </c>
      <c r="B1354" s="34">
        <f t="shared" si="45"/>
        <v>8</v>
      </c>
      <c r="C1354" s="35">
        <f t="shared" si="46"/>
        <v>42601</v>
      </c>
      <c r="D1354" s="212" t="s">
        <v>946</v>
      </c>
      <c r="E1354" s="35">
        <v>42601</v>
      </c>
      <c r="F1354" s="144" t="s">
        <v>113</v>
      </c>
      <c r="G1354" s="191" t="s">
        <v>113</v>
      </c>
      <c r="H1354" s="198" t="s">
        <v>1122</v>
      </c>
      <c r="I1354" s="186"/>
      <c r="J1354" s="186"/>
      <c r="K1354" s="185"/>
      <c r="L1354" s="186"/>
      <c r="M1354" s="36">
        <v>20000000</v>
      </c>
      <c r="N1354" s="37"/>
      <c r="O1354" s="37" t="s">
        <v>34</v>
      </c>
      <c r="P1354" s="47" t="str">
        <f>IF(AND('331-CT'!$F$5=TH!H1354,OR(N1354="331",O1354="331")),"x","")</f>
        <v/>
      </c>
      <c r="Q1354" s="47" t="str">
        <f>IF(AND(B1354='111'!$L$11,OR($N1354=$Q$7,$O1354=$Q$7)),"x","")</f>
        <v/>
      </c>
      <c r="R1354" s="47" t="str">
        <f>IF(AND($N1354=$Q$7,$B1354&lt;'111'!$L$11),"x","")</f>
        <v/>
      </c>
      <c r="S1354" s="47" t="str">
        <f>IF(AND($O1354=$Q$7,$B1354&lt;'111'!$L$11),"x","")</f>
        <v>x</v>
      </c>
    </row>
    <row r="1355" spans="1:19" ht="15.75" customHeight="1">
      <c r="A1355" s="152" t="str">
        <f>IF(B1355&lt;&gt;"",IF(AND(B1355='IN-TC'!$S$4,OR(TH!N1355="1111",TH!O1355="1111")),TH!D1355,""),"")</f>
        <v/>
      </c>
      <c r="B1355" s="34">
        <f t="shared" si="45"/>
        <v>8</v>
      </c>
      <c r="C1355" s="35">
        <f t="shared" si="46"/>
        <v>42601</v>
      </c>
      <c r="D1355" s="212" t="s">
        <v>947</v>
      </c>
      <c r="E1355" s="35">
        <v>42601</v>
      </c>
      <c r="F1355" s="144" t="s">
        <v>850</v>
      </c>
      <c r="G1355" s="191" t="s">
        <v>206</v>
      </c>
      <c r="H1355" s="198" t="s">
        <v>839</v>
      </c>
      <c r="I1355" s="186"/>
      <c r="J1355" s="186"/>
      <c r="K1355" s="185"/>
      <c r="L1355" s="186"/>
      <c r="M1355" s="36">
        <v>297263000</v>
      </c>
      <c r="N1355" s="37" t="s">
        <v>8</v>
      </c>
      <c r="O1355" s="37" t="s">
        <v>34</v>
      </c>
      <c r="P1355" s="47" t="str">
        <f>IF(AND('331-CT'!$F$5=TH!H1355,OR(N1355="331",O1355="331")),"x","")</f>
        <v/>
      </c>
      <c r="Q1355" s="47" t="str">
        <f>IF(AND(B1355='111'!$L$11,OR($N1355=$Q$7,$O1355=$Q$7)),"x","")</f>
        <v/>
      </c>
      <c r="R1355" s="47" t="str">
        <f>IF(AND($N1355=$Q$7,$B1355&lt;'111'!$L$11),"x","")</f>
        <v/>
      </c>
      <c r="S1355" s="47" t="str">
        <f>IF(AND($O1355=$Q$7,$B1355&lt;'111'!$L$11),"x","")</f>
        <v>x</v>
      </c>
    </row>
    <row r="1356" spans="1:19" ht="15.75" customHeight="1">
      <c r="A1356" s="152" t="str">
        <f>IF(B1356&lt;&gt;"",IF(AND(B1356='IN-TC'!$S$4,OR(TH!N1356="1111",TH!O1356="1111")),TH!D1356,""),"")</f>
        <v/>
      </c>
      <c r="B1356" s="34">
        <f t="shared" si="45"/>
        <v>8</v>
      </c>
      <c r="C1356" s="35">
        <f t="shared" si="46"/>
        <v>42601</v>
      </c>
      <c r="D1356" s="212" t="s">
        <v>948</v>
      </c>
      <c r="E1356" s="35">
        <v>42601</v>
      </c>
      <c r="F1356" s="144" t="s">
        <v>850</v>
      </c>
      <c r="G1356" s="191" t="s">
        <v>206</v>
      </c>
      <c r="H1356" s="198" t="s">
        <v>1077</v>
      </c>
      <c r="I1356" s="186"/>
      <c r="J1356" s="186"/>
      <c r="K1356" s="185"/>
      <c r="L1356" s="186"/>
      <c r="M1356" s="36">
        <v>46717000</v>
      </c>
      <c r="N1356" s="37" t="s">
        <v>8</v>
      </c>
      <c r="O1356" s="37" t="s">
        <v>34</v>
      </c>
      <c r="P1356" s="47" t="str">
        <f>IF(AND('331-CT'!$F$5=TH!H1356,OR(N1356="331",O1356="331")),"x","")</f>
        <v/>
      </c>
      <c r="Q1356" s="47" t="str">
        <f>IF(AND(B1356='111'!$L$11,OR($N1356=$Q$7,$O1356=$Q$7)),"x","")</f>
        <v/>
      </c>
      <c r="R1356" s="47" t="str">
        <f>IF(AND($N1356=$Q$7,$B1356&lt;'111'!$L$11),"x","")</f>
        <v/>
      </c>
      <c r="S1356" s="47" t="str">
        <f>IF(AND($O1356=$Q$7,$B1356&lt;'111'!$L$11),"x","")</f>
        <v>x</v>
      </c>
    </row>
    <row r="1357" spans="1:19" ht="15.75" customHeight="1">
      <c r="A1357" s="152" t="str">
        <f>IF(B1357&lt;&gt;"",IF(AND(B1357='IN-TC'!$S$4,OR(TH!N1357="1111",TH!O1357="1111")),TH!D1357,""),"")</f>
        <v/>
      </c>
      <c r="B1357" s="34">
        <f t="shared" ref="B1357:B1420" si="47">IF(C1357&lt;&gt;"",MONTH(C1357),"")</f>
        <v>8</v>
      </c>
      <c r="C1357" s="35">
        <f t="shared" ref="C1357:C1420" si="48">E1357</f>
        <v>42601</v>
      </c>
      <c r="D1357" s="212" t="s">
        <v>949</v>
      </c>
      <c r="E1357" s="35">
        <v>42601</v>
      </c>
      <c r="F1357" s="144" t="s">
        <v>850</v>
      </c>
      <c r="G1357" s="191" t="s">
        <v>206</v>
      </c>
      <c r="H1357" s="198" t="s">
        <v>821</v>
      </c>
      <c r="I1357" s="186"/>
      <c r="J1357" s="186"/>
      <c r="K1357" s="185"/>
      <c r="L1357" s="186"/>
      <c r="M1357" s="36">
        <v>47187000</v>
      </c>
      <c r="N1357" s="37" t="s">
        <v>8</v>
      </c>
      <c r="O1357" s="37" t="s">
        <v>34</v>
      </c>
      <c r="P1357" s="47" t="str">
        <f>IF(AND('331-CT'!$F$5=TH!H1357,OR(N1357="331",O1357="331")),"x","")</f>
        <v/>
      </c>
      <c r="Q1357" s="47" t="str">
        <f>IF(AND(B1357='111'!$L$11,OR($N1357=$Q$7,$O1357=$Q$7)),"x","")</f>
        <v/>
      </c>
      <c r="R1357" s="47" t="str">
        <f>IF(AND($N1357=$Q$7,$B1357&lt;'111'!$L$11),"x","")</f>
        <v/>
      </c>
      <c r="S1357" s="47" t="str">
        <f>IF(AND($O1357=$Q$7,$B1357&lt;'111'!$L$11),"x","")</f>
        <v>x</v>
      </c>
    </row>
    <row r="1358" spans="1:19" ht="15.75" customHeight="1">
      <c r="A1358" s="152" t="str">
        <f>IF(B1358&lt;&gt;"",IF(AND(B1358='IN-TC'!$S$4,OR(TH!N1358="1111",TH!O1358="1111")),TH!D1358,""),"")</f>
        <v/>
      </c>
      <c r="B1358" s="34">
        <f t="shared" si="47"/>
        <v>8</v>
      </c>
      <c r="C1358" s="35">
        <f t="shared" si="48"/>
        <v>42601</v>
      </c>
      <c r="D1358" s="212" t="s">
        <v>950</v>
      </c>
      <c r="E1358" s="35">
        <v>42601</v>
      </c>
      <c r="F1358" s="144" t="s">
        <v>850</v>
      </c>
      <c r="G1358" s="191" t="s">
        <v>206</v>
      </c>
      <c r="H1358" s="198" t="s">
        <v>1123</v>
      </c>
      <c r="I1358" s="186"/>
      <c r="J1358" s="186"/>
      <c r="K1358" s="185"/>
      <c r="L1358" s="186"/>
      <c r="M1358" s="36">
        <v>12870000</v>
      </c>
      <c r="N1358" s="37" t="s">
        <v>8</v>
      </c>
      <c r="O1358" s="37" t="s">
        <v>34</v>
      </c>
      <c r="P1358" s="47" t="str">
        <f>IF(AND('331-CT'!$F$5=TH!H1358,OR(N1358="331",O1358="331")),"x","")</f>
        <v/>
      </c>
      <c r="Q1358" s="47" t="str">
        <f>IF(AND(B1358='111'!$L$11,OR($N1358=$Q$7,$O1358=$Q$7)),"x","")</f>
        <v/>
      </c>
      <c r="R1358" s="47" t="str">
        <f>IF(AND($N1358=$Q$7,$B1358&lt;'111'!$L$11),"x","")</f>
        <v/>
      </c>
      <c r="S1358" s="47" t="str">
        <f>IF(AND($O1358=$Q$7,$B1358&lt;'111'!$L$11),"x","")</f>
        <v>x</v>
      </c>
    </row>
    <row r="1359" spans="1:19" ht="15.75" customHeight="1">
      <c r="A1359" s="152" t="str">
        <f>IF(B1359&lt;&gt;"",IF(AND(B1359='IN-TC'!$S$4,OR(TH!N1359="1111",TH!O1359="1111")),TH!D1359,""),"")</f>
        <v/>
      </c>
      <c r="B1359" s="34">
        <f t="shared" si="47"/>
        <v>8</v>
      </c>
      <c r="C1359" s="35">
        <f t="shared" si="48"/>
        <v>42601</v>
      </c>
      <c r="D1359" s="212" t="s">
        <v>950</v>
      </c>
      <c r="E1359" s="35">
        <v>42601</v>
      </c>
      <c r="F1359" s="144" t="s">
        <v>1424</v>
      </c>
      <c r="G1359" s="191"/>
      <c r="H1359" s="198"/>
      <c r="I1359" s="186"/>
      <c r="J1359" s="186"/>
      <c r="K1359" s="185"/>
      <c r="L1359" s="186"/>
      <c r="M1359" s="36">
        <v>17000</v>
      </c>
      <c r="N1359" s="37" t="s">
        <v>1425</v>
      </c>
      <c r="O1359" s="37" t="s">
        <v>34</v>
      </c>
      <c r="P1359" s="47" t="str">
        <f>IF(AND('331-CT'!$F$5=TH!H1359,OR(N1359="331",O1359="331")),"x","")</f>
        <v/>
      </c>
      <c r="Q1359" s="47" t="str">
        <f>IF(AND(B1359='111'!$L$11,OR($N1359=$Q$7,$O1359=$Q$7)),"x","")</f>
        <v/>
      </c>
      <c r="R1359" s="47" t="str">
        <f>IF(AND($N1359=$Q$7,$B1359&lt;'111'!$L$11),"x","")</f>
        <v/>
      </c>
      <c r="S1359" s="47" t="str">
        <f>IF(AND($O1359=$Q$7,$B1359&lt;'111'!$L$11),"x","")</f>
        <v>x</v>
      </c>
    </row>
    <row r="1360" spans="1:19" ht="15.75" customHeight="1">
      <c r="A1360" s="152" t="str">
        <f>IF(B1360&lt;&gt;"",IF(AND(B1360='IN-TC'!$S$4,OR(TH!N1360="1111",TH!O1360="1111")),TH!D1360,""),"")</f>
        <v/>
      </c>
      <c r="B1360" s="34">
        <f t="shared" si="47"/>
        <v>8</v>
      </c>
      <c r="C1360" s="35">
        <f t="shared" si="48"/>
        <v>42601</v>
      </c>
      <c r="D1360" s="212" t="s">
        <v>951</v>
      </c>
      <c r="E1360" s="35">
        <v>42601</v>
      </c>
      <c r="F1360" s="144" t="s">
        <v>1124</v>
      </c>
      <c r="G1360" s="191" t="s">
        <v>213</v>
      </c>
      <c r="H1360" s="198" t="s">
        <v>1125</v>
      </c>
      <c r="I1360" s="186"/>
      <c r="J1360" s="186"/>
      <c r="K1360" s="185"/>
      <c r="L1360" s="186"/>
      <c r="M1360" s="36">
        <v>7517000</v>
      </c>
      <c r="N1360" s="37"/>
      <c r="O1360" s="37" t="s">
        <v>34</v>
      </c>
      <c r="P1360" s="47" t="str">
        <f>IF(AND('331-CT'!$F$5=TH!H1360,OR(N1360="331",O1360="331")),"x","")</f>
        <v/>
      </c>
      <c r="Q1360" s="47" t="str">
        <f>IF(AND(B1360='111'!$L$11,OR($N1360=$Q$7,$O1360=$Q$7)),"x","")</f>
        <v/>
      </c>
      <c r="R1360" s="47" t="str">
        <f>IF(AND($N1360=$Q$7,$B1360&lt;'111'!$L$11),"x","")</f>
        <v/>
      </c>
      <c r="S1360" s="47" t="str">
        <f>IF(AND($O1360=$Q$7,$B1360&lt;'111'!$L$11),"x","")</f>
        <v>x</v>
      </c>
    </row>
    <row r="1361" spans="1:19" ht="15.75" customHeight="1">
      <c r="A1361" s="152" t="str">
        <f>IF(B1361&lt;&gt;"",IF(AND(B1361='IN-TC'!$S$4,OR(TH!N1361="1111",TH!O1361="1111")),TH!D1361,""),"")</f>
        <v/>
      </c>
      <c r="B1361" s="34">
        <f t="shared" si="47"/>
        <v>8</v>
      </c>
      <c r="C1361" s="35">
        <f t="shared" si="48"/>
        <v>42601</v>
      </c>
      <c r="D1361" s="212" t="s">
        <v>952</v>
      </c>
      <c r="E1361" s="35">
        <v>42601</v>
      </c>
      <c r="F1361" s="144" t="s">
        <v>1058</v>
      </c>
      <c r="G1361" s="191" t="s">
        <v>204</v>
      </c>
      <c r="H1361" s="198" t="s">
        <v>204</v>
      </c>
      <c r="I1361" s="186"/>
      <c r="J1361" s="186"/>
      <c r="K1361" s="185"/>
      <c r="L1361" s="186"/>
      <c r="M1361" s="36">
        <v>50017000</v>
      </c>
      <c r="N1361" s="37"/>
      <c r="O1361" s="37" t="s">
        <v>34</v>
      </c>
      <c r="P1361" s="47" t="str">
        <f>IF(AND('331-CT'!$F$5=TH!H1361,OR(N1361="331",O1361="331")),"x","")</f>
        <v/>
      </c>
      <c r="Q1361" s="47" t="str">
        <f>IF(AND(B1361='111'!$L$11,OR($N1361=$Q$7,$O1361=$Q$7)),"x","")</f>
        <v/>
      </c>
      <c r="R1361" s="47" t="str">
        <f>IF(AND($N1361=$Q$7,$B1361&lt;'111'!$L$11),"x","")</f>
        <v/>
      </c>
      <c r="S1361" s="47" t="str">
        <f>IF(AND($O1361=$Q$7,$B1361&lt;'111'!$L$11),"x","")</f>
        <v>x</v>
      </c>
    </row>
    <row r="1362" spans="1:19" ht="15.75" customHeight="1">
      <c r="A1362" s="152" t="str">
        <f>IF(B1362&lt;&gt;"",IF(AND(B1362='IN-TC'!$S$4,OR(TH!N1362="1111",TH!O1362="1111")),TH!D1362,""),"")</f>
        <v/>
      </c>
      <c r="B1362" s="34">
        <f t="shared" si="47"/>
        <v>8</v>
      </c>
      <c r="C1362" s="35">
        <f t="shared" si="48"/>
        <v>42601</v>
      </c>
      <c r="D1362" s="212" t="s">
        <v>953</v>
      </c>
      <c r="E1362" s="35">
        <v>42601</v>
      </c>
      <c r="F1362" s="144" t="s">
        <v>850</v>
      </c>
      <c r="G1362" s="191" t="s">
        <v>206</v>
      </c>
      <c r="H1362" s="198" t="s">
        <v>831</v>
      </c>
      <c r="I1362" s="186"/>
      <c r="J1362" s="186"/>
      <c r="K1362" s="185"/>
      <c r="L1362" s="186"/>
      <c r="M1362" s="36">
        <v>100000000</v>
      </c>
      <c r="N1362" s="37" t="s">
        <v>8</v>
      </c>
      <c r="O1362" s="37" t="s">
        <v>34</v>
      </c>
      <c r="P1362" s="47" t="str">
        <f>IF(AND('331-CT'!$F$5=TH!H1362,OR(N1362="331",O1362="331")),"x","")</f>
        <v/>
      </c>
      <c r="Q1362" s="47" t="str">
        <f>IF(AND(B1362='111'!$L$11,OR($N1362=$Q$7,$O1362=$Q$7)),"x","")</f>
        <v/>
      </c>
      <c r="R1362" s="47" t="str">
        <f>IF(AND($N1362=$Q$7,$B1362&lt;'111'!$L$11),"x","")</f>
        <v/>
      </c>
      <c r="S1362" s="47" t="str">
        <f>IF(AND($O1362=$Q$7,$B1362&lt;'111'!$L$11),"x","")</f>
        <v>x</v>
      </c>
    </row>
    <row r="1363" spans="1:19" ht="15.75" customHeight="1">
      <c r="A1363" s="152" t="str">
        <f>IF(B1363&lt;&gt;"",IF(AND(B1363='IN-TC'!$S$4,OR(TH!N1363="1111",TH!O1363="1111")),TH!D1363,""),"")</f>
        <v/>
      </c>
      <c r="B1363" s="34">
        <f t="shared" si="47"/>
        <v>8</v>
      </c>
      <c r="C1363" s="35">
        <f t="shared" si="48"/>
        <v>42601</v>
      </c>
      <c r="D1363" s="212" t="s">
        <v>954</v>
      </c>
      <c r="E1363" s="35">
        <v>42601</v>
      </c>
      <c r="F1363" s="144" t="s">
        <v>850</v>
      </c>
      <c r="G1363" s="191" t="s">
        <v>206</v>
      </c>
      <c r="H1363" s="198" t="s">
        <v>840</v>
      </c>
      <c r="I1363" s="186"/>
      <c r="J1363" s="186"/>
      <c r="K1363" s="185"/>
      <c r="L1363" s="186"/>
      <c r="M1363" s="36">
        <v>100000000</v>
      </c>
      <c r="N1363" s="37" t="s">
        <v>8</v>
      </c>
      <c r="O1363" s="37" t="s">
        <v>34</v>
      </c>
      <c r="P1363" s="47" t="str">
        <f>IF(AND('331-CT'!$F$5=TH!H1363,OR(N1363="331",O1363="331")),"x","")</f>
        <v/>
      </c>
      <c r="Q1363" s="47" t="str">
        <f>IF(AND(B1363='111'!$L$11,OR($N1363=$Q$7,$O1363=$Q$7)),"x","")</f>
        <v/>
      </c>
      <c r="R1363" s="47" t="str">
        <f>IF(AND($N1363=$Q$7,$B1363&lt;'111'!$L$11),"x","")</f>
        <v/>
      </c>
      <c r="S1363" s="47" t="str">
        <f>IF(AND($O1363=$Q$7,$B1363&lt;'111'!$L$11),"x","")</f>
        <v>x</v>
      </c>
    </row>
    <row r="1364" spans="1:19" ht="15.75" customHeight="1">
      <c r="A1364" s="152" t="str">
        <f>IF(B1364&lt;&gt;"",IF(AND(B1364='IN-TC'!$S$4,OR(TH!N1364="1111",TH!O1364="1111")),TH!D1364,""),"")</f>
        <v/>
      </c>
      <c r="B1364" s="34">
        <f t="shared" si="47"/>
        <v>8</v>
      </c>
      <c r="C1364" s="35">
        <f t="shared" si="48"/>
        <v>42601</v>
      </c>
      <c r="D1364" s="212" t="s">
        <v>955</v>
      </c>
      <c r="E1364" s="35">
        <v>42601</v>
      </c>
      <c r="F1364" s="144" t="s">
        <v>850</v>
      </c>
      <c r="G1364" s="191" t="s">
        <v>206</v>
      </c>
      <c r="H1364" s="198" t="s">
        <v>817</v>
      </c>
      <c r="I1364" s="186"/>
      <c r="J1364" s="186"/>
      <c r="K1364" s="185"/>
      <c r="L1364" s="186"/>
      <c r="M1364" s="36">
        <v>78915000</v>
      </c>
      <c r="N1364" s="37" t="s">
        <v>8</v>
      </c>
      <c r="O1364" s="37" t="s">
        <v>34</v>
      </c>
      <c r="P1364" s="47" t="str">
        <f>IF(AND('331-CT'!$F$5=TH!H1364,OR(N1364="331",O1364="331")),"x","")</f>
        <v/>
      </c>
      <c r="Q1364" s="47" t="str">
        <f>IF(AND(B1364='111'!$L$11,OR($N1364=$Q$7,$O1364=$Q$7)),"x","")</f>
        <v/>
      </c>
      <c r="R1364" s="47" t="str">
        <f>IF(AND($N1364=$Q$7,$B1364&lt;'111'!$L$11),"x","")</f>
        <v/>
      </c>
      <c r="S1364" s="47" t="str">
        <f>IF(AND($O1364=$Q$7,$B1364&lt;'111'!$L$11),"x","")</f>
        <v>x</v>
      </c>
    </row>
    <row r="1365" spans="1:19" ht="15.75" customHeight="1">
      <c r="A1365" s="152" t="str">
        <f>IF(B1365&lt;&gt;"",IF(AND(B1365='IN-TC'!$S$4,OR(TH!N1365="1111",TH!O1365="1111")),TH!D1365,""),"")</f>
        <v/>
      </c>
      <c r="B1365" s="34">
        <f t="shared" si="47"/>
        <v>8</v>
      </c>
      <c r="C1365" s="35">
        <f t="shared" si="48"/>
        <v>42601</v>
      </c>
      <c r="D1365" s="212" t="s">
        <v>956</v>
      </c>
      <c r="E1365" s="35">
        <v>42601</v>
      </c>
      <c r="F1365" s="144" t="s">
        <v>203</v>
      </c>
      <c r="G1365" s="191" t="s">
        <v>203</v>
      </c>
      <c r="H1365" s="198" t="s">
        <v>1416</v>
      </c>
      <c r="I1365" s="186"/>
      <c r="J1365" s="186"/>
      <c r="K1365" s="185"/>
      <c r="L1365" s="186"/>
      <c r="M1365" s="36">
        <v>3011000</v>
      </c>
      <c r="N1365" s="37" t="s">
        <v>814</v>
      </c>
      <c r="O1365" s="37" t="s">
        <v>34</v>
      </c>
      <c r="P1365" s="47" t="str">
        <f>IF(AND('331-CT'!$F$5=TH!H1365,OR(N1365="331",O1365="331")),"x","")</f>
        <v/>
      </c>
      <c r="Q1365" s="47" t="str">
        <f>IF(AND(B1365='111'!$L$11,OR($N1365=$Q$7,$O1365=$Q$7)),"x","")</f>
        <v/>
      </c>
      <c r="R1365" s="47" t="str">
        <f>IF(AND($N1365=$Q$7,$B1365&lt;'111'!$L$11),"x","")</f>
        <v/>
      </c>
      <c r="S1365" s="47" t="str">
        <f>IF(AND($O1365=$Q$7,$B1365&lt;'111'!$L$11),"x","")</f>
        <v>x</v>
      </c>
    </row>
    <row r="1366" spans="1:19" ht="15.75" customHeight="1">
      <c r="A1366" s="152" t="str">
        <f>IF(B1366&lt;&gt;"",IF(AND(B1366='IN-TC'!$S$4,OR(TH!N1366="1111",TH!O1366="1111")),TH!D1366,""),"")</f>
        <v/>
      </c>
      <c r="B1366" s="34">
        <f t="shared" si="47"/>
        <v>8</v>
      </c>
      <c r="C1366" s="35">
        <f t="shared" si="48"/>
        <v>42601</v>
      </c>
      <c r="D1366" s="212" t="s">
        <v>957</v>
      </c>
      <c r="E1366" s="35">
        <v>42601</v>
      </c>
      <c r="F1366" s="144" t="s">
        <v>653</v>
      </c>
      <c r="G1366" s="191"/>
      <c r="H1366" s="198"/>
      <c r="I1366" s="186"/>
      <c r="J1366" s="186"/>
      <c r="K1366" s="185"/>
      <c r="L1366" s="186"/>
      <c r="M1366" s="36">
        <v>300000</v>
      </c>
      <c r="N1366" s="37"/>
      <c r="O1366" s="37" t="s">
        <v>34</v>
      </c>
      <c r="P1366" s="47" t="str">
        <f>IF(AND('331-CT'!$F$5=TH!H1366,OR(N1366="331",O1366="331")),"x","")</f>
        <v/>
      </c>
      <c r="Q1366" s="47" t="str">
        <f>IF(AND(B1366='111'!$L$11,OR($N1366=$Q$7,$O1366=$Q$7)),"x","")</f>
        <v/>
      </c>
      <c r="R1366" s="47" t="str">
        <f>IF(AND($N1366=$Q$7,$B1366&lt;'111'!$L$11),"x","")</f>
        <v/>
      </c>
      <c r="S1366" s="47" t="str">
        <f>IF(AND($O1366=$Q$7,$B1366&lt;'111'!$L$11),"x","")</f>
        <v>x</v>
      </c>
    </row>
    <row r="1367" spans="1:19" ht="15.75" customHeight="1">
      <c r="A1367" s="152" t="str">
        <f>IF(B1367&lt;&gt;"",IF(AND(B1367='IN-TC'!$S$4,OR(TH!N1367="1111",TH!O1367="1111")),TH!D1367,""),"")</f>
        <v/>
      </c>
      <c r="B1367" s="34">
        <f t="shared" si="47"/>
        <v>8</v>
      </c>
      <c r="C1367" s="35">
        <f t="shared" si="48"/>
        <v>42601</v>
      </c>
      <c r="D1367" s="212" t="s">
        <v>958</v>
      </c>
      <c r="E1367" s="35">
        <v>42601</v>
      </c>
      <c r="F1367" s="144" t="s">
        <v>1126</v>
      </c>
      <c r="G1367" s="191"/>
      <c r="H1367" s="198"/>
      <c r="I1367" s="186"/>
      <c r="J1367" s="186"/>
      <c r="K1367" s="185"/>
      <c r="L1367" s="186"/>
      <c r="M1367" s="36">
        <v>58896000</v>
      </c>
      <c r="N1367" s="37"/>
      <c r="O1367" s="37" t="s">
        <v>34</v>
      </c>
      <c r="P1367" s="47" t="str">
        <f>IF(AND('331-CT'!$F$5=TH!H1367,OR(N1367="331",O1367="331")),"x","")</f>
        <v/>
      </c>
      <c r="Q1367" s="47" t="str">
        <f>IF(AND(B1367='111'!$L$11,OR($N1367=$Q$7,$O1367=$Q$7)),"x","")</f>
        <v/>
      </c>
      <c r="R1367" s="47" t="str">
        <f>IF(AND($N1367=$Q$7,$B1367&lt;'111'!$L$11),"x","")</f>
        <v/>
      </c>
      <c r="S1367" s="47" t="str">
        <f>IF(AND($O1367=$Q$7,$B1367&lt;'111'!$L$11),"x","")</f>
        <v>x</v>
      </c>
    </row>
    <row r="1368" spans="1:19" ht="15.75" customHeight="1">
      <c r="A1368" s="152" t="str">
        <f>IF(B1368&lt;&gt;"",IF(AND(B1368='IN-TC'!$S$4,OR(TH!N1368="1111",TH!O1368="1111")),TH!D1368,""),"")</f>
        <v/>
      </c>
      <c r="B1368" s="34">
        <f t="shared" si="47"/>
        <v>8</v>
      </c>
      <c r="C1368" s="35">
        <f t="shared" si="48"/>
        <v>42601</v>
      </c>
      <c r="D1368" s="212" t="s">
        <v>959</v>
      </c>
      <c r="E1368" s="35">
        <v>42601</v>
      </c>
      <c r="F1368" s="144" t="s">
        <v>736</v>
      </c>
      <c r="G1368" s="191"/>
      <c r="H1368" s="198"/>
      <c r="I1368" s="186"/>
      <c r="J1368" s="186"/>
      <c r="K1368" s="185"/>
      <c r="L1368" s="186"/>
      <c r="M1368" s="36">
        <v>4854000</v>
      </c>
      <c r="N1368" s="37"/>
      <c r="O1368" s="37" t="s">
        <v>34</v>
      </c>
      <c r="P1368" s="47" t="str">
        <f>IF(AND('331-CT'!$F$5=TH!H1368,OR(N1368="331",O1368="331")),"x","")</f>
        <v/>
      </c>
      <c r="Q1368" s="47" t="str">
        <f>IF(AND(B1368='111'!$L$11,OR($N1368=$Q$7,$O1368=$Q$7)),"x","")</f>
        <v/>
      </c>
      <c r="R1368" s="47" t="str">
        <f>IF(AND($N1368=$Q$7,$B1368&lt;'111'!$L$11),"x","")</f>
        <v/>
      </c>
      <c r="S1368" s="47" t="str">
        <f>IF(AND($O1368=$Q$7,$B1368&lt;'111'!$L$11),"x","")</f>
        <v>x</v>
      </c>
    </row>
    <row r="1369" spans="1:19" ht="15.75" customHeight="1">
      <c r="A1369" s="152" t="str">
        <f>IF(B1369&lt;&gt;"",IF(AND(B1369='IN-TC'!$S$4,OR(TH!N1369="1111",TH!O1369="1111")),TH!D1369,""),"")</f>
        <v/>
      </c>
      <c r="B1369" s="34">
        <f t="shared" si="47"/>
        <v>8</v>
      </c>
      <c r="C1369" s="35">
        <f t="shared" si="48"/>
        <v>42601</v>
      </c>
      <c r="D1369" s="212"/>
      <c r="E1369" s="35">
        <v>42601</v>
      </c>
      <c r="F1369" s="144" t="s">
        <v>1467</v>
      </c>
      <c r="G1369" s="191"/>
      <c r="H1369" s="198" t="s">
        <v>831</v>
      </c>
      <c r="I1369" s="186">
        <v>880</v>
      </c>
      <c r="J1369" s="186">
        <v>12000</v>
      </c>
      <c r="K1369" s="185"/>
      <c r="L1369" s="186"/>
      <c r="M1369" s="36">
        <f>ROUND(I1369*J1369,0)</f>
        <v>10560000</v>
      </c>
      <c r="N1369" s="37" t="s">
        <v>1443</v>
      </c>
      <c r="O1369" s="37" t="s">
        <v>8</v>
      </c>
      <c r="P1369" s="47" t="str">
        <f>IF(AND('331-CT'!$F$5=TH!H1369,OR(N1369="331",O1369="331")),"x","")</f>
        <v/>
      </c>
      <c r="Q1369" s="47" t="str">
        <f>IF(AND(B1369='111'!$L$11,OR($N1369=$Q$7,$O1369=$Q$7)),"x","")</f>
        <v/>
      </c>
      <c r="R1369" s="47" t="str">
        <f>IF(AND($N1369=$Q$7,$B1369&lt;'111'!$L$11),"x","")</f>
        <v/>
      </c>
      <c r="S1369" s="47" t="str">
        <f>IF(AND($O1369=$Q$7,$B1369&lt;'111'!$L$11),"x","")</f>
        <v/>
      </c>
    </row>
    <row r="1370" spans="1:19" ht="15.75" customHeight="1">
      <c r="A1370" s="152" t="str">
        <f>IF(B1370&lt;&gt;"",IF(AND(B1370='IN-TC'!$S$4,OR(TH!N1370="1111",TH!O1370="1111")),TH!D1370,""),"")</f>
        <v/>
      </c>
      <c r="B1370" s="34">
        <f t="shared" si="47"/>
        <v>8</v>
      </c>
      <c r="C1370" s="35">
        <f t="shared" si="48"/>
        <v>42601</v>
      </c>
      <c r="D1370" s="212"/>
      <c r="E1370" s="35">
        <v>42601</v>
      </c>
      <c r="F1370" s="144" t="s">
        <v>1464</v>
      </c>
      <c r="G1370" s="191"/>
      <c r="H1370" s="198" t="s">
        <v>821</v>
      </c>
      <c r="I1370" s="186">
        <v>682</v>
      </c>
      <c r="J1370" s="186">
        <v>21000</v>
      </c>
      <c r="K1370" s="185"/>
      <c r="L1370" s="186"/>
      <c r="M1370" s="36">
        <f>ROUND(I1370*J1370,0)</f>
        <v>14322000</v>
      </c>
      <c r="N1370" s="37" t="s">
        <v>1443</v>
      </c>
      <c r="O1370" s="37" t="s">
        <v>8</v>
      </c>
      <c r="P1370" s="47" t="str">
        <f>IF(AND('331-CT'!$F$5=TH!H1370,OR(N1370="331",O1370="331")),"x","")</f>
        <v/>
      </c>
      <c r="Q1370" s="47" t="str">
        <f>IF(AND(B1370='111'!$L$11,OR($N1370=$Q$7,$O1370=$Q$7)),"x","")</f>
        <v/>
      </c>
      <c r="R1370" s="47" t="str">
        <f>IF(AND($N1370=$Q$7,$B1370&lt;'111'!$L$11),"x","")</f>
        <v/>
      </c>
      <c r="S1370" s="47" t="str">
        <f>IF(AND($O1370=$Q$7,$B1370&lt;'111'!$L$11),"x","")</f>
        <v/>
      </c>
    </row>
    <row r="1371" spans="1:19" ht="15.75" customHeight="1">
      <c r="A1371" s="152" t="str">
        <f>IF(B1371&lt;&gt;"",IF(AND(B1371='IN-TC'!$S$4,OR(TH!N1371="1111",TH!O1371="1111")),TH!D1371,""),"")</f>
        <v/>
      </c>
      <c r="B1371" s="34">
        <f t="shared" si="47"/>
        <v>8</v>
      </c>
      <c r="C1371" s="35">
        <f t="shared" si="48"/>
        <v>42602</v>
      </c>
      <c r="D1371" s="212" t="s">
        <v>1029</v>
      </c>
      <c r="E1371" s="35">
        <v>42602</v>
      </c>
      <c r="F1371" s="144" t="s">
        <v>1019</v>
      </c>
      <c r="G1371" s="191" t="s">
        <v>104</v>
      </c>
      <c r="H1371" s="198"/>
      <c r="I1371" s="186"/>
      <c r="J1371" s="186"/>
      <c r="K1371" s="185"/>
      <c r="L1371" s="186"/>
      <c r="M1371" s="36">
        <v>250000000</v>
      </c>
      <c r="N1371" s="37" t="s">
        <v>34</v>
      </c>
      <c r="O1371" s="37"/>
      <c r="P1371" s="47" t="str">
        <f>IF(AND('331-CT'!$F$5=TH!H1371,OR(N1371="331",O1371="331")),"x","")</f>
        <v/>
      </c>
      <c r="Q1371" s="47" t="str">
        <f>IF(AND(B1371='111'!$L$11,OR($N1371=$Q$7,$O1371=$Q$7)),"x","")</f>
        <v/>
      </c>
      <c r="R1371" s="47" t="str">
        <f>IF(AND($N1371=$Q$7,$B1371&lt;'111'!$L$11),"x","")</f>
        <v>x</v>
      </c>
      <c r="S1371" s="47" t="str">
        <f>IF(AND($O1371=$Q$7,$B1371&lt;'111'!$L$11),"x","")</f>
        <v/>
      </c>
    </row>
    <row r="1372" spans="1:19" ht="15.75" customHeight="1">
      <c r="A1372" s="152" t="str">
        <f>IF(B1372&lt;&gt;"",IF(AND(B1372='IN-TC'!$S$4,OR(TH!N1372="1111",TH!O1372="1111")),TH!D1372,""),"")</f>
        <v/>
      </c>
      <c r="B1372" s="34">
        <f t="shared" si="47"/>
        <v>8</v>
      </c>
      <c r="C1372" s="35">
        <f t="shared" si="48"/>
        <v>42602</v>
      </c>
      <c r="D1372" s="212" t="s">
        <v>960</v>
      </c>
      <c r="E1372" s="35">
        <v>42602</v>
      </c>
      <c r="F1372" s="144" t="s">
        <v>203</v>
      </c>
      <c r="G1372" s="191" t="s">
        <v>203</v>
      </c>
      <c r="H1372" s="198" t="s">
        <v>1042</v>
      </c>
      <c r="I1372" s="186"/>
      <c r="J1372" s="186"/>
      <c r="K1372" s="185"/>
      <c r="L1372" s="186"/>
      <c r="M1372" s="36">
        <v>37533000</v>
      </c>
      <c r="N1372" s="37" t="s">
        <v>814</v>
      </c>
      <c r="O1372" s="37" t="s">
        <v>34</v>
      </c>
      <c r="P1372" s="47" t="str">
        <f>IF(AND('331-CT'!$F$5=TH!H1372,OR(N1372="331",O1372="331")),"x","")</f>
        <v/>
      </c>
      <c r="Q1372" s="47" t="str">
        <f>IF(AND(B1372='111'!$L$11,OR($N1372=$Q$7,$O1372=$Q$7)),"x","")</f>
        <v/>
      </c>
      <c r="R1372" s="47" t="str">
        <f>IF(AND($N1372=$Q$7,$B1372&lt;'111'!$L$11),"x","")</f>
        <v/>
      </c>
      <c r="S1372" s="47" t="str">
        <f>IF(AND($O1372=$Q$7,$B1372&lt;'111'!$L$11),"x","")</f>
        <v>x</v>
      </c>
    </row>
    <row r="1373" spans="1:19" ht="15.75" customHeight="1">
      <c r="A1373" s="152" t="str">
        <f>IF(B1373&lt;&gt;"",IF(AND(B1373='IN-TC'!$S$4,OR(TH!N1373="1111",TH!O1373="1111")),TH!D1373,""),"")</f>
        <v/>
      </c>
      <c r="B1373" s="34">
        <f t="shared" si="47"/>
        <v>8</v>
      </c>
      <c r="C1373" s="35">
        <f t="shared" si="48"/>
        <v>42602</v>
      </c>
      <c r="D1373" s="212" t="s">
        <v>961</v>
      </c>
      <c r="E1373" s="35">
        <v>42602</v>
      </c>
      <c r="F1373" s="144" t="s">
        <v>1127</v>
      </c>
      <c r="G1373" s="191" t="s">
        <v>207</v>
      </c>
      <c r="H1373" s="198"/>
      <c r="I1373" s="186"/>
      <c r="J1373" s="186"/>
      <c r="K1373" s="185"/>
      <c r="L1373" s="186"/>
      <c r="M1373" s="36">
        <v>540000</v>
      </c>
      <c r="N1373" s="37"/>
      <c r="O1373" s="37" t="s">
        <v>34</v>
      </c>
      <c r="P1373" s="47" t="str">
        <f>IF(AND('331-CT'!$F$5=TH!H1373,OR(N1373="331",O1373="331")),"x","")</f>
        <v/>
      </c>
      <c r="Q1373" s="47" t="str">
        <f>IF(AND(B1373='111'!$L$11,OR($N1373=$Q$7,$O1373=$Q$7)),"x","")</f>
        <v/>
      </c>
      <c r="R1373" s="47" t="str">
        <f>IF(AND($N1373=$Q$7,$B1373&lt;'111'!$L$11),"x","")</f>
        <v/>
      </c>
      <c r="S1373" s="47" t="str">
        <f>IF(AND($O1373=$Q$7,$B1373&lt;'111'!$L$11),"x","")</f>
        <v>x</v>
      </c>
    </row>
    <row r="1374" spans="1:19" ht="15.75" customHeight="1">
      <c r="A1374" s="152" t="str">
        <f>IF(B1374&lt;&gt;"",IF(AND(B1374='IN-TC'!$S$4,OR(TH!N1374="1111",TH!O1374="1111")),TH!D1374,""),"")</f>
        <v/>
      </c>
      <c r="B1374" s="34">
        <f t="shared" si="47"/>
        <v>8</v>
      </c>
      <c r="C1374" s="35">
        <f t="shared" si="48"/>
        <v>42602</v>
      </c>
      <c r="D1374" s="212" t="s">
        <v>962</v>
      </c>
      <c r="E1374" s="35">
        <v>42602</v>
      </c>
      <c r="F1374" s="144" t="s">
        <v>1391</v>
      </c>
      <c r="G1374" s="191" t="s">
        <v>206</v>
      </c>
      <c r="H1374" s="198" t="s">
        <v>1128</v>
      </c>
      <c r="I1374" s="186"/>
      <c r="J1374" s="186"/>
      <c r="K1374" s="185"/>
      <c r="L1374" s="186"/>
      <c r="M1374" s="36">
        <v>350104000</v>
      </c>
      <c r="N1374" s="37" t="s">
        <v>8</v>
      </c>
      <c r="O1374" s="37" t="s">
        <v>34</v>
      </c>
      <c r="P1374" s="47" t="str">
        <f>IF(AND('331-CT'!$F$5=TH!H1374,OR(N1374="331",O1374="331")),"x","")</f>
        <v/>
      </c>
      <c r="Q1374" s="47" t="str">
        <f>IF(AND(B1374='111'!$L$11,OR($N1374=$Q$7,$O1374=$Q$7)),"x","")</f>
        <v/>
      </c>
      <c r="R1374" s="47" t="str">
        <f>IF(AND($N1374=$Q$7,$B1374&lt;'111'!$L$11),"x","")</f>
        <v/>
      </c>
      <c r="S1374" s="47" t="str">
        <f>IF(AND($O1374=$Q$7,$B1374&lt;'111'!$L$11),"x","")</f>
        <v>x</v>
      </c>
    </row>
    <row r="1375" spans="1:19" ht="15.75" customHeight="1">
      <c r="A1375" s="152" t="str">
        <f>IF(B1375&lt;&gt;"",IF(AND(B1375='IN-TC'!$S$4,OR(TH!N1375="1111",TH!O1375="1111")),TH!D1375,""),"")</f>
        <v/>
      </c>
      <c r="B1375" s="34">
        <f t="shared" si="47"/>
        <v>8</v>
      </c>
      <c r="C1375" s="35">
        <f t="shared" si="48"/>
        <v>42602</v>
      </c>
      <c r="D1375" s="212" t="s">
        <v>963</v>
      </c>
      <c r="E1375" s="35">
        <v>42602</v>
      </c>
      <c r="F1375" s="144" t="s">
        <v>1129</v>
      </c>
      <c r="G1375" s="191" t="s">
        <v>212</v>
      </c>
      <c r="H1375" s="198"/>
      <c r="I1375" s="186"/>
      <c r="J1375" s="186"/>
      <c r="K1375" s="185"/>
      <c r="L1375" s="186"/>
      <c r="M1375" s="36">
        <v>1608000</v>
      </c>
      <c r="N1375" s="37"/>
      <c r="O1375" s="37" t="s">
        <v>34</v>
      </c>
      <c r="P1375" s="47" t="str">
        <f>IF(AND('331-CT'!$F$5=TH!H1375,OR(N1375="331",O1375="331")),"x","")</f>
        <v/>
      </c>
      <c r="Q1375" s="47" t="str">
        <f>IF(AND(B1375='111'!$L$11,OR($N1375=$Q$7,$O1375=$Q$7)),"x","")</f>
        <v/>
      </c>
      <c r="R1375" s="47" t="str">
        <f>IF(AND($N1375=$Q$7,$B1375&lt;'111'!$L$11),"x","")</f>
        <v/>
      </c>
      <c r="S1375" s="47" t="str">
        <f>IF(AND($O1375=$Q$7,$B1375&lt;'111'!$L$11),"x","")</f>
        <v>x</v>
      </c>
    </row>
    <row r="1376" spans="1:19" ht="15.75" customHeight="1">
      <c r="A1376" s="152" t="str">
        <f>IF(B1376&lt;&gt;"",IF(AND(B1376='IN-TC'!$S$4,OR(TH!N1376="1111",TH!O1376="1111")),TH!D1376,""),"")</f>
        <v/>
      </c>
      <c r="B1376" s="34">
        <f t="shared" si="47"/>
        <v>8</v>
      </c>
      <c r="C1376" s="35">
        <f t="shared" si="48"/>
        <v>42602</v>
      </c>
      <c r="D1376" s="212" t="s">
        <v>964</v>
      </c>
      <c r="E1376" s="35">
        <v>42602</v>
      </c>
      <c r="F1376" s="144" t="s">
        <v>1130</v>
      </c>
      <c r="G1376" s="191"/>
      <c r="H1376" s="198"/>
      <c r="I1376" s="186"/>
      <c r="J1376" s="186"/>
      <c r="K1376" s="185"/>
      <c r="L1376" s="186"/>
      <c r="M1376" s="36">
        <v>2218000</v>
      </c>
      <c r="N1376" s="37"/>
      <c r="O1376" s="37" t="s">
        <v>34</v>
      </c>
      <c r="P1376" s="47" t="str">
        <f>IF(AND('331-CT'!$F$5=TH!H1376,OR(N1376="331",O1376="331")),"x","")</f>
        <v/>
      </c>
      <c r="Q1376" s="47" t="str">
        <f>IF(AND(B1376='111'!$L$11,OR($N1376=$Q$7,$O1376=$Q$7)),"x","")</f>
        <v/>
      </c>
      <c r="R1376" s="47" t="str">
        <f>IF(AND($N1376=$Q$7,$B1376&lt;'111'!$L$11),"x","")</f>
        <v/>
      </c>
      <c r="S1376" s="47" t="str">
        <f>IF(AND($O1376=$Q$7,$B1376&lt;'111'!$L$11),"x","")</f>
        <v>x</v>
      </c>
    </row>
    <row r="1377" spans="1:19" ht="15.75" customHeight="1">
      <c r="A1377" s="152" t="str">
        <f>IF(B1377&lt;&gt;"",IF(AND(B1377='IN-TC'!$S$4,OR(TH!N1377="1111",TH!O1377="1111")),TH!D1377,""),"")</f>
        <v/>
      </c>
      <c r="B1377" s="34">
        <f t="shared" si="47"/>
        <v>8</v>
      </c>
      <c r="C1377" s="35">
        <f t="shared" si="48"/>
        <v>42602</v>
      </c>
      <c r="D1377" s="212" t="s">
        <v>965</v>
      </c>
      <c r="E1377" s="35">
        <v>42602</v>
      </c>
      <c r="F1377" s="144" t="s">
        <v>1131</v>
      </c>
      <c r="G1377" s="191"/>
      <c r="H1377" s="198"/>
      <c r="I1377" s="186"/>
      <c r="J1377" s="186"/>
      <c r="K1377" s="185"/>
      <c r="L1377" s="186"/>
      <c r="M1377" s="36">
        <v>2425000</v>
      </c>
      <c r="N1377" s="37"/>
      <c r="O1377" s="37" t="s">
        <v>34</v>
      </c>
      <c r="P1377" s="47" t="str">
        <f>IF(AND('331-CT'!$F$5=TH!H1377,OR(N1377="331",O1377="331")),"x","")</f>
        <v/>
      </c>
      <c r="Q1377" s="47" t="str">
        <f>IF(AND(B1377='111'!$L$11,OR($N1377=$Q$7,$O1377=$Q$7)),"x","")</f>
        <v/>
      </c>
      <c r="R1377" s="47" t="str">
        <f>IF(AND($N1377=$Q$7,$B1377&lt;'111'!$L$11),"x","")</f>
        <v/>
      </c>
      <c r="S1377" s="47" t="str">
        <f>IF(AND($O1377=$Q$7,$B1377&lt;'111'!$L$11),"x","")</f>
        <v>x</v>
      </c>
    </row>
    <row r="1378" spans="1:19" ht="15.75" customHeight="1">
      <c r="A1378" s="152" t="str">
        <f>IF(B1378&lt;&gt;"",IF(AND(B1378='IN-TC'!$S$4,OR(TH!N1378="1111",TH!O1378="1111")),TH!D1378,""),"")</f>
        <v/>
      </c>
      <c r="B1378" s="34">
        <f t="shared" si="47"/>
        <v>8</v>
      </c>
      <c r="C1378" s="35">
        <f t="shared" si="48"/>
        <v>42602</v>
      </c>
      <c r="D1378" s="212" t="s">
        <v>1030</v>
      </c>
      <c r="E1378" s="35">
        <v>42602</v>
      </c>
      <c r="F1378" s="144" t="s">
        <v>1132</v>
      </c>
      <c r="G1378" s="191" t="s">
        <v>110</v>
      </c>
      <c r="H1378" s="198"/>
      <c r="I1378" s="186"/>
      <c r="J1378" s="186"/>
      <c r="K1378" s="185"/>
      <c r="L1378" s="186"/>
      <c r="M1378" s="36">
        <v>1000000</v>
      </c>
      <c r="N1378" s="37" t="s">
        <v>34</v>
      </c>
      <c r="O1378" s="37"/>
      <c r="P1378" s="47" t="str">
        <f>IF(AND('331-CT'!$F$5=TH!H1378,OR(N1378="331",O1378="331")),"x","")</f>
        <v/>
      </c>
      <c r="Q1378" s="47" t="str">
        <f>IF(AND(B1378='111'!$L$11,OR($N1378=$Q$7,$O1378=$Q$7)),"x","")</f>
        <v/>
      </c>
      <c r="R1378" s="47" t="str">
        <f>IF(AND($N1378=$Q$7,$B1378&lt;'111'!$L$11),"x","")</f>
        <v>x</v>
      </c>
      <c r="S1378" s="47" t="str">
        <f>IF(AND($O1378=$Q$7,$B1378&lt;'111'!$L$11),"x","")</f>
        <v/>
      </c>
    </row>
    <row r="1379" spans="1:19" ht="15.75" customHeight="1">
      <c r="A1379" s="152" t="str">
        <f>IF(B1379&lt;&gt;"",IF(AND(B1379='IN-TC'!$S$4,OR(TH!N1379="1111",TH!O1379="1111")),TH!D1379,""),"")</f>
        <v/>
      </c>
      <c r="B1379" s="34">
        <f t="shared" si="47"/>
        <v>8</v>
      </c>
      <c r="C1379" s="35">
        <f t="shared" si="48"/>
        <v>42602</v>
      </c>
      <c r="D1379" s="212" t="s">
        <v>966</v>
      </c>
      <c r="E1379" s="35">
        <v>42602</v>
      </c>
      <c r="F1379" s="144" t="s">
        <v>1133</v>
      </c>
      <c r="G1379" s="191"/>
      <c r="H1379" s="198"/>
      <c r="I1379" s="186"/>
      <c r="J1379" s="186"/>
      <c r="K1379" s="185"/>
      <c r="L1379" s="186"/>
      <c r="M1379" s="36">
        <v>40000</v>
      </c>
      <c r="N1379" s="37"/>
      <c r="O1379" s="37" t="s">
        <v>34</v>
      </c>
      <c r="P1379" s="47" t="str">
        <f>IF(AND('331-CT'!$F$5=TH!H1379,OR(N1379="331",O1379="331")),"x","")</f>
        <v/>
      </c>
      <c r="Q1379" s="47" t="str">
        <f>IF(AND(B1379='111'!$L$11,OR($N1379=$Q$7,$O1379=$Q$7)),"x","")</f>
        <v/>
      </c>
      <c r="R1379" s="47" t="str">
        <f>IF(AND($N1379=$Q$7,$B1379&lt;'111'!$L$11),"x","")</f>
        <v/>
      </c>
      <c r="S1379" s="47" t="str">
        <f>IF(AND($O1379=$Q$7,$B1379&lt;'111'!$L$11),"x","")</f>
        <v>x</v>
      </c>
    </row>
    <row r="1380" spans="1:19" ht="15.75" customHeight="1">
      <c r="A1380" s="152" t="str">
        <f>IF(B1380&lt;&gt;"",IF(AND(B1380='IN-TC'!$S$4,OR(TH!N1380="1111",TH!O1380="1111")),TH!D1380,""),"")</f>
        <v/>
      </c>
      <c r="B1380" s="34">
        <f t="shared" si="47"/>
        <v>8</v>
      </c>
      <c r="C1380" s="35">
        <f t="shared" si="48"/>
        <v>42602</v>
      </c>
      <c r="D1380" s="212" t="s">
        <v>967</v>
      </c>
      <c r="E1380" s="35">
        <v>42602</v>
      </c>
      <c r="F1380" s="144" t="s">
        <v>1134</v>
      </c>
      <c r="G1380" s="191"/>
      <c r="H1380" s="198"/>
      <c r="I1380" s="186"/>
      <c r="J1380" s="186"/>
      <c r="K1380" s="185"/>
      <c r="L1380" s="186"/>
      <c r="M1380" s="36">
        <v>1800000</v>
      </c>
      <c r="N1380" s="37"/>
      <c r="O1380" s="37" t="s">
        <v>34</v>
      </c>
      <c r="P1380" s="47" t="str">
        <f>IF(AND('331-CT'!$F$5=TH!H1380,OR(N1380="331",O1380="331")),"x","")</f>
        <v/>
      </c>
      <c r="Q1380" s="47" t="str">
        <f>IF(AND(B1380='111'!$L$11,OR($N1380=$Q$7,$O1380=$Q$7)),"x","")</f>
        <v/>
      </c>
      <c r="R1380" s="47" t="str">
        <f>IF(AND($N1380=$Q$7,$B1380&lt;'111'!$L$11),"x","")</f>
        <v/>
      </c>
      <c r="S1380" s="47" t="str">
        <f>IF(AND($O1380=$Q$7,$B1380&lt;'111'!$L$11),"x","")</f>
        <v>x</v>
      </c>
    </row>
    <row r="1381" spans="1:19" ht="15.75" customHeight="1">
      <c r="A1381" s="152" t="str">
        <f>IF(B1381&lt;&gt;"",IF(AND(B1381='IN-TC'!$S$4,OR(TH!N1381="1111",TH!O1381="1111")),TH!D1381,""),"")</f>
        <v/>
      </c>
      <c r="B1381" s="34">
        <f t="shared" si="47"/>
        <v>8</v>
      </c>
      <c r="C1381" s="35">
        <f t="shared" si="48"/>
        <v>42603</v>
      </c>
      <c r="D1381" s="212"/>
      <c r="E1381" s="35">
        <v>42603</v>
      </c>
      <c r="F1381" s="144" t="s">
        <v>1439</v>
      </c>
      <c r="G1381" s="191"/>
      <c r="H1381" s="198" t="s">
        <v>839</v>
      </c>
      <c r="I1381" s="186">
        <v>2250</v>
      </c>
      <c r="J1381" s="186">
        <v>125000</v>
      </c>
      <c r="K1381" s="185"/>
      <c r="L1381" s="186"/>
      <c r="M1381" s="36">
        <f>ROUND(I1381*J1381,0)</f>
        <v>281250000</v>
      </c>
      <c r="N1381" s="37" t="s">
        <v>1443</v>
      </c>
      <c r="O1381" s="37" t="s">
        <v>8</v>
      </c>
      <c r="P1381" s="47" t="str">
        <f>IF(AND('331-CT'!$F$5=TH!H1381,OR(N1381="331",O1381="331")),"x","")</f>
        <v/>
      </c>
      <c r="Q1381" s="47" t="str">
        <f>IF(AND(B1381='111'!$L$11,OR($N1381=$Q$7,$O1381=$Q$7)),"x","")</f>
        <v/>
      </c>
      <c r="R1381" s="47" t="str">
        <f>IF(AND($N1381=$Q$7,$B1381&lt;'111'!$L$11),"x","")</f>
        <v/>
      </c>
      <c r="S1381" s="47" t="str">
        <f>IF(AND($O1381=$Q$7,$B1381&lt;'111'!$L$11),"x","")</f>
        <v/>
      </c>
    </row>
    <row r="1382" spans="1:19" ht="15.75" customHeight="1">
      <c r="A1382" s="152" t="str">
        <f>IF(B1382&lt;&gt;"",IF(AND(B1382='IN-TC'!$S$4,OR(TH!N1382="1111",TH!O1382="1111")),TH!D1382,""),"")</f>
        <v/>
      </c>
      <c r="B1382" s="34">
        <f t="shared" si="47"/>
        <v>8</v>
      </c>
      <c r="C1382" s="35">
        <f t="shared" si="48"/>
        <v>42604</v>
      </c>
      <c r="D1382" s="212"/>
      <c r="E1382" s="35">
        <v>42604</v>
      </c>
      <c r="F1382" s="144" t="s">
        <v>1466</v>
      </c>
      <c r="G1382" s="191" t="s">
        <v>204</v>
      </c>
      <c r="H1382" s="198" t="s">
        <v>832</v>
      </c>
      <c r="I1382" s="186">
        <v>165</v>
      </c>
      <c r="J1382" s="186">
        <v>15000</v>
      </c>
      <c r="K1382" s="185"/>
      <c r="L1382" s="186"/>
      <c r="M1382" s="36">
        <f>ROUND(I1382*J1382,0)</f>
        <v>2475000</v>
      </c>
      <c r="N1382" s="37" t="s">
        <v>1443</v>
      </c>
      <c r="O1382" s="37" t="s">
        <v>8</v>
      </c>
      <c r="P1382" s="47" t="str">
        <f>IF(AND('331-CT'!$F$5=TH!H1382,OR(N1382="331",O1382="331")),"x","")</f>
        <v/>
      </c>
      <c r="Q1382" s="47" t="str">
        <f>IF(AND(B1382='111'!$L$11,OR($N1382=$Q$7,$O1382=$Q$7)),"x","")</f>
        <v/>
      </c>
      <c r="R1382" s="47" t="str">
        <f>IF(AND($N1382=$Q$7,$B1382&lt;'111'!$L$11),"x","")</f>
        <v/>
      </c>
      <c r="S1382" s="47" t="str">
        <f>IF(AND($O1382=$Q$7,$B1382&lt;'111'!$L$11),"x","")</f>
        <v/>
      </c>
    </row>
    <row r="1383" spans="1:19" ht="15.75" customHeight="1">
      <c r="A1383" s="152" t="str">
        <f>IF(B1383&lt;&gt;"",IF(AND(B1383='IN-TC'!$S$4,OR(TH!N1383="1111",TH!O1383="1111")),TH!D1383,""),"")</f>
        <v/>
      </c>
      <c r="B1383" s="34">
        <f t="shared" si="47"/>
        <v>8</v>
      </c>
      <c r="C1383" s="35">
        <f t="shared" si="48"/>
        <v>42604</v>
      </c>
      <c r="D1383" s="212"/>
      <c r="E1383" s="35">
        <v>42604</v>
      </c>
      <c r="F1383" s="144" t="s">
        <v>1473</v>
      </c>
      <c r="G1383" s="191" t="s">
        <v>204</v>
      </c>
      <c r="H1383" s="198" t="s">
        <v>828</v>
      </c>
      <c r="I1383" s="186">
        <v>215</v>
      </c>
      <c r="J1383" s="186">
        <v>30000</v>
      </c>
      <c r="K1383" s="185"/>
      <c r="L1383" s="186"/>
      <c r="M1383" s="36">
        <f>ROUND(I1383*J1383,-3)</f>
        <v>6450000</v>
      </c>
      <c r="N1383" s="37" t="s">
        <v>1443</v>
      </c>
      <c r="O1383" s="37" t="s">
        <v>8</v>
      </c>
      <c r="P1383" s="47" t="str">
        <f>IF(AND('331-CT'!$F$5=TH!H1383,OR(N1383="331",O1383="331")),"x","")</f>
        <v/>
      </c>
      <c r="Q1383" s="47" t="str">
        <f>IF(AND(B1383='111'!$L$11,OR($N1383=$Q$7,$O1383=$Q$7)),"x","")</f>
        <v/>
      </c>
      <c r="R1383" s="47" t="str">
        <f>IF(AND($N1383=$Q$7,$B1383&lt;'111'!$L$11),"x","")</f>
        <v/>
      </c>
      <c r="S1383" s="47" t="str">
        <f>IF(AND($O1383=$Q$7,$B1383&lt;'111'!$L$11),"x","")</f>
        <v/>
      </c>
    </row>
    <row r="1384" spans="1:19" ht="15.75" customHeight="1">
      <c r="A1384" s="152" t="str">
        <f>IF(B1384&lt;&gt;"",IF(AND(B1384='IN-TC'!$S$4,OR(TH!N1384="1111",TH!O1384="1111")),TH!D1384,""),"")</f>
        <v/>
      </c>
      <c r="B1384" s="34">
        <f t="shared" si="47"/>
        <v>8</v>
      </c>
      <c r="C1384" s="35">
        <f t="shared" si="48"/>
        <v>42604</v>
      </c>
      <c r="D1384" s="212"/>
      <c r="E1384" s="35">
        <v>42604</v>
      </c>
      <c r="F1384" s="144" t="s">
        <v>1469</v>
      </c>
      <c r="G1384" s="191" t="s">
        <v>204</v>
      </c>
      <c r="H1384" s="198" t="s">
        <v>828</v>
      </c>
      <c r="I1384" s="186">
        <v>1445</v>
      </c>
      <c r="J1384" s="186">
        <v>23000</v>
      </c>
      <c r="K1384" s="185"/>
      <c r="L1384" s="186"/>
      <c r="M1384" s="36">
        <f>ROUND(I1384*J1384,-3)</f>
        <v>33235000</v>
      </c>
      <c r="N1384" s="37" t="s">
        <v>1443</v>
      </c>
      <c r="O1384" s="37" t="s">
        <v>8</v>
      </c>
      <c r="P1384" s="47" t="str">
        <f>IF(AND('331-CT'!$F$5=TH!H1384,OR(N1384="331",O1384="331")),"x","")</f>
        <v/>
      </c>
      <c r="Q1384" s="47" t="str">
        <f>IF(AND(B1384='111'!$L$11,OR($N1384=$Q$7,$O1384=$Q$7)),"x","")</f>
        <v/>
      </c>
      <c r="R1384" s="47" t="str">
        <f>IF(AND($N1384=$Q$7,$B1384&lt;'111'!$L$11),"x","")</f>
        <v/>
      </c>
      <c r="S1384" s="47" t="str">
        <f>IF(AND($O1384=$Q$7,$B1384&lt;'111'!$L$11),"x","")</f>
        <v/>
      </c>
    </row>
    <row r="1385" spans="1:19" ht="15.75" customHeight="1">
      <c r="A1385" s="152" t="str">
        <f>IF(B1385&lt;&gt;"",IF(AND(B1385='IN-TC'!$S$4,OR(TH!N1385="1111",TH!O1385="1111")),TH!D1385,""),"")</f>
        <v/>
      </c>
      <c r="B1385" s="34">
        <f t="shared" si="47"/>
        <v>8</v>
      </c>
      <c r="C1385" s="35">
        <f t="shared" si="48"/>
        <v>42604</v>
      </c>
      <c r="D1385" s="212"/>
      <c r="E1385" s="35">
        <v>42604</v>
      </c>
      <c r="F1385" s="144" t="s">
        <v>1495</v>
      </c>
      <c r="G1385" s="191" t="s">
        <v>204</v>
      </c>
      <c r="H1385" s="198" t="s">
        <v>828</v>
      </c>
      <c r="I1385" s="186">
        <v>99</v>
      </c>
      <c r="J1385" s="186">
        <v>15000</v>
      </c>
      <c r="K1385" s="185"/>
      <c r="L1385" s="186"/>
      <c r="M1385" s="36">
        <f>ROUND(I1385*J1385,-3)-5000</f>
        <v>1480000</v>
      </c>
      <c r="N1385" s="37" t="s">
        <v>1443</v>
      </c>
      <c r="O1385" s="37" t="s">
        <v>8</v>
      </c>
      <c r="P1385" s="47" t="str">
        <f>IF(AND('331-CT'!$F$5=TH!H1385,OR(N1385="331",O1385="331")),"x","")</f>
        <v/>
      </c>
      <c r="Q1385" s="47" t="str">
        <f>IF(AND(B1385='111'!$L$11,OR($N1385=$Q$7,$O1385=$Q$7)),"x","")</f>
        <v/>
      </c>
      <c r="R1385" s="47" t="str">
        <f>IF(AND($N1385=$Q$7,$B1385&lt;'111'!$L$11),"x","")</f>
        <v/>
      </c>
      <c r="S1385" s="47" t="str">
        <f>IF(AND($O1385=$Q$7,$B1385&lt;'111'!$L$11),"x","")</f>
        <v/>
      </c>
    </row>
    <row r="1386" spans="1:19" ht="15.75" customHeight="1">
      <c r="A1386" s="152" t="str">
        <f>IF(B1386&lt;&gt;"",IF(AND(B1386='IN-TC'!$S$4,OR(TH!N1386="1111",TH!O1386="1111")),TH!D1386,""),"")</f>
        <v/>
      </c>
      <c r="B1386" s="34">
        <f t="shared" si="47"/>
        <v>8</v>
      </c>
      <c r="C1386" s="35">
        <f t="shared" si="48"/>
        <v>42604</v>
      </c>
      <c r="D1386" s="212"/>
      <c r="E1386" s="35">
        <v>42604</v>
      </c>
      <c r="F1386" s="144" t="s">
        <v>1467</v>
      </c>
      <c r="G1386" s="191"/>
      <c r="H1386" s="198" t="s">
        <v>1123</v>
      </c>
      <c r="I1386" s="186">
        <v>2570</v>
      </c>
      <c r="J1386" s="186">
        <v>11000</v>
      </c>
      <c r="K1386" s="185"/>
      <c r="L1386" s="186"/>
      <c r="M1386" s="36">
        <f>ROUND(I1386*J1386,-3)</f>
        <v>28270000</v>
      </c>
      <c r="N1386" s="37" t="s">
        <v>1443</v>
      </c>
      <c r="O1386" s="37" t="s">
        <v>8</v>
      </c>
      <c r="P1386" s="47" t="str">
        <f>IF(AND('331-CT'!$F$5=TH!H1386,OR(N1386="331",O1386="331")),"x","")</f>
        <v/>
      </c>
      <c r="Q1386" s="47" t="str">
        <f>IF(AND(B1386='111'!$L$11,OR($N1386=$Q$7,$O1386=$Q$7)),"x","")</f>
        <v/>
      </c>
      <c r="R1386" s="47" t="str">
        <f>IF(AND($N1386=$Q$7,$B1386&lt;'111'!$L$11),"x","")</f>
        <v/>
      </c>
      <c r="S1386" s="47" t="str">
        <f>IF(AND($O1386=$Q$7,$B1386&lt;'111'!$L$11),"x","")</f>
        <v/>
      </c>
    </row>
    <row r="1387" spans="1:19" ht="15.75" customHeight="1">
      <c r="A1387" s="152" t="str">
        <f>IF(B1387&lt;&gt;"",IF(AND(B1387='IN-TC'!$S$4,OR(TH!N1387="1111",TH!O1387="1111")),TH!D1387,""),"")</f>
        <v/>
      </c>
      <c r="B1387" s="34">
        <f t="shared" si="47"/>
        <v>8</v>
      </c>
      <c r="C1387" s="35">
        <f t="shared" si="48"/>
        <v>42605</v>
      </c>
      <c r="D1387" s="212" t="s">
        <v>1031</v>
      </c>
      <c r="E1387" s="35">
        <v>42605</v>
      </c>
      <c r="F1387" s="144" t="s">
        <v>1119</v>
      </c>
      <c r="G1387" s="191" t="s">
        <v>104</v>
      </c>
      <c r="H1387" s="198"/>
      <c r="I1387" s="186"/>
      <c r="J1387" s="186"/>
      <c r="K1387" s="185"/>
      <c r="L1387" s="186"/>
      <c r="M1387" s="36">
        <v>1350000000</v>
      </c>
      <c r="N1387" s="37" t="s">
        <v>34</v>
      </c>
      <c r="O1387" s="37"/>
      <c r="P1387" s="47" t="str">
        <f>IF(AND('331-CT'!$F$5=TH!H1387,OR(N1387="331",O1387="331")),"x","")</f>
        <v/>
      </c>
      <c r="Q1387" s="47" t="str">
        <f>IF(AND(B1387='111'!$L$11,OR($N1387=$Q$7,$O1387=$Q$7)),"x","")</f>
        <v/>
      </c>
      <c r="R1387" s="47" t="str">
        <f>IF(AND($N1387=$Q$7,$B1387&lt;'111'!$L$11),"x","")</f>
        <v>x</v>
      </c>
      <c r="S1387" s="47" t="str">
        <f>IF(AND($O1387=$Q$7,$B1387&lt;'111'!$L$11),"x","")</f>
        <v/>
      </c>
    </row>
    <row r="1388" spans="1:19" ht="15.75" customHeight="1">
      <c r="A1388" s="152" t="str">
        <f>IF(B1388&lt;&gt;"",IF(AND(B1388='IN-TC'!$S$4,OR(TH!N1388="1111",TH!O1388="1111")),TH!D1388,""),"")</f>
        <v/>
      </c>
      <c r="B1388" s="34">
        <f t="shared" si="47"/>
        <v>8</v>
      </c>
      <c r="C1388" s="35">
        <f t="shared" si="48"/>
        <v>42605</v>
      </c>
      <c r="D1388" s="213" t="s">
        <v>968</v>
      </c>
      <c r="E1388" s="201">
        <v>42605</v>
      </c>
      <c r="F1388" s="144" t="s">
        <v>1391</v>
      </c>
      <c r="G1388" s="191" t="s">
        <v>206</v>
      </c>
      <c r="H1388" s="202" t="s">
        <v>1128</v>
      </c>
      <c r="I1388" s="203"/>
      <c r="J1388" s="203"/>
      <c r="K1388" s="204"/>
      <c r="L1388" s="203"/>
      <c r="M1388" s="205">
        <v>61958000</v>
      </c>
      <c r="N1388" s="37" t="s">
        <v>8</v>
      </c>
      <c r="O1388" s="206" t="s">
        <v>34</v>
      </c>
      <c r="P1388" s="47" t="str">
        <f>IF(AND('331-CT'!$F$5=TH!H1388,OR(N1388="331",O1388="331")),"x","")</f>
        <v/>
      </c>
      <c r="Q1388" s="47" t="str">
        <f>IF(AND(B1388='111'!$L$11,OR($N1388=$Q$7,$O1388=$Q$7)),"x","")</f>
        <v/>
      </c>
      <c r="R1388" s="47" t="str">
        <f>IF(AND($N1388=$Q$7,$B1388&lt;'111'!$L$11),"x","")</f>
        <v/>
      </c>
      <c r="S1388" s="47" t="str">
        <f>IF(AND($O1388=$Q$7,$B1388&lt;'111'!$L$11),"x","")</f>
        <v>x</v>
      </c>
    </row>
    <row r="1389" spans="1:19" ht="15.75" customHeight="1">
      <c r="A1389" s="152" t="str">
        <f>IF(B1389&lt;&gt;"",IF(AND(B1389='IN-TC'!$S$4,OR(TH!N1389="1111",TH!O1389="1111")),TH!D1389,""),"")</f>
        <v/>
      </c>
      <c r="B1389" s="34">
        <f t="shared" si="47"/>
        <v>8</v>
      </c>
      <c r="C1389" s="35">
        <f t="shared" si="48"/>
        <v>42605</v>
      </c>
      <c r="D1389" s="212" t="s">
        <v>969</v>
      </c>
      <c r="E1389" s="35">
        <v>42605</v>
      </c>
      <c r="F1389" s="144" t="s">
        <v>1139</v>
      </c>
      <c r="G1389" s="191" t="s">
        <v>203</v>
      </c>
      <c r="H1389" s="198" t="s">
        <v>1409</v>
      </c>
      <c r="I1389" s="186"/>
      <c r="J1389" s="186"/>
      <c r="K1389" s="185"/>
      <c r="L1389" s="186"/>
      <c r="M1389" s="36">
        <v>10011000</v>
      </c>
      <c r="N1389" s="37" t="s">
        <v>814</v>
      </c>
      <c r="O1389" s="37" t="s">
        <v>34</v>
      </c>
      <c r="P1389" s="47" t="str">
        <f>IF(AND('331-CT'!$F$5=TH!H1389,OR(N1389="331",O1389="331")),"x","")</f>
        <v/>
      </c>
      <c r="Q1389" s="47" t="str">
        <f>IF(AND(B1389='111'!$L$11,OR($N1389=$Q$7,$O1389=$Q$7)),"x","")</f>
        <v/>
      </c>
      <c r="R1389" s="47" t="str">
        <f>IF(AND($N1389=$Q$7,$B1389&lt;'111'!$L$11),"x","")</f>
        <v/>
      </c>
      <c r="S1389" s="47" t="str">
        <f>IF(AND($O1389=$Q$7,$B1389&lt;'111'!$L$11),"x","")</f>
        <v>x</v>
      </c>
    </row>
    <row r="1390" spans="1:19" ht="15.75" customHeight="1">
      <c r="A1390" s="152" t="str">
        <f>IF(B1390&lt;&gt;"",IF(AND(B1390='IN-TC'!$S$4,OR(TH!N1390="1111",TH!O1390="1111")),TH!D1390,""),"")</f>
        <v/>
      </c>
      <c r="B1390" s="34">
        <f t="shared" si="47"/>
        <v>8</v>
      </c>
      <c r="C1390" s="35">
        <f t="shared" si="48"/>
        <v>42605</v>
      </c>
      <c r="D1390" s="212" t="s">
        <v>970</v>
      </c>
      <c r="E1390" s="35">
        <v>42605</v>
      </c>
      <c r="F1390" s="144" t="s">
        <v>1138</v>
      </c>
      <c r="G1390" s="191"/>
      <c r="H1390" s="198"/>
      <c r="I1390" s="186"/>
      <c r="J1390" s="186"/>
      <c r="K1390" s="185"/>
      <c r="L1390" s="186"/>
      <c r="M1390" s="36">
        <v>17655000</v>
      </c>
      <c r="N1390" s="37"/>
      <c r="O1390" s="37" t="s">
        <v>34</v>
      </c>
      <c r="P1390" s="47" t="str">
        <f>IF(AND('331-CT'!$F$5=TH!H1390,OR(N1390="331",O1390="331")),"x","")</f>
        <v/>
      </c>
      <c r="Q1390" s="47" t="str">
        <f>IF(AND(B1390='111'!$L$11,OR($N1390=$Q$7,$O1390=$Q$7)),"x","")</f>
        <v/>
      </c>
      <c r="R1390" s="47" t="str">
        <f>IF(AND($N1390=$Q$7,$B1390&lt;'111'!$L$11),"x","")</f>
        <v/>
      </c>
      <c r="S1390" s="47" t="str">
        <f>IF(AND($O1390=$Q$7,$B1390&lt;'111'!$L$11),"x","")</f>
        <v>x</v>
      </c>
    </row>
    <row r="1391" spans="1:19" ht="15.75" customHeight="1">
      <c r="A1391" s="152" t="str">
        <f>IF(B1391&lt;&gt;"",IF(AND(B1391='IN-TC'!$S$4,OR(TH!N1391="1111",TH!O1391="1111")),TH!D1391,""),"")</f>
        <v/>
      </c>
      <c r="B1391" s="34">
        <f t="shared" si="47"/>
        <v>8</v>
      </c>
      <c r="C1391" s="35">
        <f t="shared" si="48"/>
        <v>42605</v>
      </c>
      <c r="D1391" s="212" t="s">
        <v>971</v>
      </c>
      <c r="E1391" s="35">
        <v>42605</v>
      </c>
      <c r="F1391" s="144" t="s">
        <v>1308</v>
      </c>
      <c r="G1391" s="191" t="s">
        <v>203</v>
      </c>
      <c r="H1391" s="198" t="s">
        <v>1413</v>
      </c>
      <c r="I1391" s="186"/>
      <c r="J1391" s="186"/>
      <c r="K1391" s="185"/>
      <c r="L1391" s="186"/>
      <c r="M1391" s="36">
        <v>18000000</v>
      </c>
      <c r="N1391" s="37" t="s">
        <v>814</v>
      </c>
      <c r="O1391" s="37" t="s">
        <v>34</v>
      </c>
      <c r="P1391" s="47" t="str">
        <f>IF(AND('331-CT'!$F$5=TH!H1391,OR(N1391="331",O1391="331")),"x","")</f>
        <v/>
      </c>
      <c r="Q1391" s="47" t="str">
        <f>IF(AND(B1391='111'!$L$11,OR($N1391=$Q$7,$O1391=$Q$7)),"x","")</f>
        <v/>
      </c>
      <c r="R1391" s="47" t="str">
        <f>IF(AND($N1391=$Q$7,$B1391&lt;'111'!$L$11),"x","")</f>
        <v/>
      </c>
      <c r="S1391" s="47" t="str">
        <f>IF(AND($O1391=$Q$7,$B1391&lt;'111'!$L$11),"x","")</f>
        <v>x</v>
      </c>
    </row>
    <row r="1392" spans="1:19" ht="15.75" customHeight="1">
      <c r="A1392" s="152" t="str">
        <f>IF(B1392&lt;&gt;"",IF(AND(B1392='IN-TC'!$S$4,OR(TH!N1392="1111",TH!O1392="1111")),TH!D1392,""),"")</f>
        <v/>
      </c>
      <c r="B1392" s="34">
        <f t="shared" si="47"/>
        <v>8</v>
      </c>
      <c r="C1392" s="35">
        <f t="shared" si="48"/>
        <v>42605</v>
      </c>
      <c r="D1392" s="212" t="s">
        <v>972</v>
      </c>
      <c r="E1392" s="35">
        <v>42605</v>
      </c>
      <c r="F1392" s="144" t="s">
        <v>671</v>
      </c>
      <c r="G1392" s="191" t="s">
        <v>207</v>
      </c>
      <c r="H1392" s="198"/>
      <c r="I1392" s="186"/>
      <c r="J1392" s="186"/>
      <c r="K1392" s="185"/>
      <c r="L1392" s="186"/>
      <c r="M1392" s="36">
        <v>500000</v>
      </c>
      <c r="N1392" s="37"/>
      <c r="O1392" s="37" t="s">
        <v>34</v>
      </c>
      <c r="P1392" s="47" t="str">
        <f>IF(AND('331-CT'!$F$5=TH!H1392,OR(N1392="331",O1392="331")),"x","")</f>
        <v/>
      </c>
      <c r="Q1392" s="47" t="str">
        <f>IF(AND(B1392='111'!$L$11,OR($N1392=$Q$7,$O1392=$Q$7)),"x","")</f>
        <v/>
      </c>
      <c r="R1392" s="47" t="str">
        <f>IF(AND($N1392=$Q$7,$B1392&lt;'111'!$L$11),"x","")</f>
        <v/>
      </c>
      <c r="S1392" s="47" t="str">
        <f>IF(AND($O1392=$Q$7,$B1392&lt;'111'!$L$11),"x","")</f>
        <v>x</v>
      </c>
    </row>
    <row r="1393" spans="1:19" ht="15.75" customHeight="1">
      <c r="A1393" s="152" t="str">
        <f>IF(B1393&lt;&gt;"",IF(AND(B1393='IN-TC'!$S$4,OR(TH!N1393="1111",TH!O1393="1111")),TH!D1393,""),"")</f>
        <v/>
      </c>
      <c r="B1393" s="34">
        <f t="shared" si="47"/>
        <v>8</v>
      </c>
      <c r="C1393" s="35">
        <f t="shared" si="48"/>
        <v>42605</v>
      </c>
      <c r="D1393" s="212" t="s">
        <v>973</v>
      </c>
      <c r="E1393" s="35">
        <v>42605</v>
      </c>
      <c r="F1393" s="144" t="s">
        <v>1140</v>
      </c>
      <c r="G1393" s="191"/>
      <c r="H1393" s="198"/>
      <c r="I1393" s="186"/>
      <c r="J1393" s="186"/>
      <c r="K1393" s="185"/>
      <c r="L1393" s="186"/>
      <c r="M1393" s="36">
        <v>235000</v>
      </c>
      <c r="N1393" s="37"/>
      <c r="O1393" s="37" t="s">
        <v>34</v>
      </c>
      <c r="P1393" s="47" t="str">
        <f>IF(AND('331-CT'!$F$5=TH!H1393,OR(N1393="331",O1393="331")),"x","")</f>
        <v/>
      </c>
      <c r="Q1393" s="47" t="str">
        <f>IF(AND(B1393='111'!$L$11,OR($N1393=$Q$7,$O1393=$Q$7)),"x","")</f>
        <v/>
      </c>
      <c r="R1393" s="47" t="str">
        <f>IF(AND($N1393=$Q$7,$B1393&lt;'111'!$L$11),"x","")</f>
        <v/>
      </c>
      <c r="S1393" s="47" t="str">
        <f>IF(AND($O1393=$Q$7,$B1393&lt;'111'!$L$11),"x","")</f>
        <v>x</v>
      </c>
    </row>
    <row r="1394" spans="1:19" ht="15.75" customHeight="1">
      <c r="A1394" s="152" t="str">
        <f>IF(B1394&lt;&gt;"",IF(AND(B1394='IN-TC'!$S$4,OR(TH!N1394="1111",TH!O1394="1111")),TH!D1394,""),"")</f>
        <v/>
      </c>
      <c r="B1394" s="34">
        <f t="shared" si="47"/>
        <v>8</v>
      </c>
      <c r="C1394" s="35">
        <f t="shared" si="48"/>
        <v>42605</v>
      </c>
      <c r="D1394" s="212" t="s">
        <v>974</v>
      </c>
      <c r="E1394" s="35">
        <v>42605</v>
      </c>
      <c r="F1394" s="144" t="s">
        <v>1141</v>
      </c>
      <c r="G1394" s="191"/>
      <c r="H1394" s="198"/>
      <c r="I1394" s="186"/>
      <c r="J1394" s="186"/>
      <c r="K1394" s="185"/>
      <c r="L1394" s="186"/>
      <c r="M1394" s="36">
        <v>2980000</v>
      </c>
      <c r="N1394" s="37"/>
      <c r="O1394" s="37" t="s">
        <v>34</v>
      </c>
      <c r="P1394" s="47" t="str">
        <f>IF(AND('331-CT'!$F$5=TH!H1394,OR(N1394="331",O1394="331")),"x","")</f>
        <v/>
      </c>
      <c r="Q1394" s="47" t="str">
        <f>IF(AND(B1394='111'!$L$11,OR($N1394=$Q$7,$O1394=$Q$7)),"x","")</f>
        <v/>
      </c>
      <c r="R1394" s="47" t="str">
        <f>IF(AND($N1394=$Q$7,$B1394&lt;'111'!$L$11),"x","")</f>
        <v/>
      </c>
      <c r="S1394" s="47" t="str">
        <f>IF(AND($O1394=$Q$7,$B1394&lt;'111'!$L$11),"x","")</f>
        <v>x</v>
      </c>
    </row>
    <row r="1395" spans="1:19" ht="15.75" customHeight="1">
      <c r="A1395" s="152" t="str">
        <f>IF(B1395&lt;&gt;"",IF(AND(B1395='IN-TC'!$S$4,OR(TH!N1395="1111",TH!O1395="1111")),TH!D1395,""),"")</f>
        <v/>
      </c>
      <c r="B1395" s="34">
        <f t="shared" si="47"/>
        <v>8</v>
      </c>
      <c r="C1395" s="35">
        <f t="shared" si="48"/>
        <v>42605</v>
      </c>
      <c r="D1395" s="212" t="s">
        <v>975</v>
      </c>
      <c r="E1395" s="35">
        <v>42605</v>
      </c>
      <c r="F1395" s="144" t="s">
        <v>1142</v>
      </c>
      <c r="G1395" s="191"/>
      <c r="H1395" s="198"/>
      <c r="I1395" s="186"/>
      <c r="J1395" s="186"/>
      <c r="K1395" s="185"/>
      <c r="L1395" s="186"/>
      <c r="M1395" s="36">
        <v>9750000</v>
      </c>
      <c r="N1395" s="37"/>
      <c r="O1395" s="37" t="s">
        <v>34</v>
      </c>
      <c r="P1395" s="47" t="str">
        <f>IF(AND('331-CT'!$F$5=TH!H1395,OR(N1395="331",O1395="331")),"x","")</f>
        <v/>
      </c>
      <c r="Q1395" s="47" t="str">
        <f>IF(AND(B1395='111'!$L$11,OR($N1395=$Q$7,$O1395=$Q$7)),"x","")</f>
        <v/>
      </c>
      <c r="R1395" s="47" t="str">
        <f>IF(AND($N1395=$Q$7,$B1395&lt;'111'!$L$11),"x","")</f>
        <v/>
      </c>
      <c r="S1395" s="47" t="str">
        <f>IF(AND($O1395=$Q$7,$B1395&lt;'111'!$L$11),"x","")</f>
        <v>x</v>
      </c>
    </row>
    <row r="1396" spans="1:19" ht="15.75" customHeight="1">
      <c r="A1396" s="152" t="str">
        <f>IF(B1396&lt;&gt;"",IF(AND(B1396='IN-TC'!$S$4,OR(TH!N1396="1111",TH!O1396="1111")),TH!D1396,""),"")</f>
        <v/>
      </c>
      <c r="B1396" s="34">
        <f t="shared" si="47"/>
        <v>8</v>
      </c>
      <c r="C1396" s="35">
        <f t="shared" si="48"/>
        <v>42605</v>
      </c>
      <c r="D1396" s="212" t="s">
        <v>976</v>
      </c>
      <c r="E1396" s="35">
        <v>42605</v>
      </c>
      <c r="F1396" s="144" t="s">
        <v>1143</v>
      </c>
      <c r="G1396" s="191" t="s">
        <v>204</v>
      </c>
      <c r="H1396" s="198"/>
      <c r="I1396" s="186"/>
      <c r="J1396" s="186"/>
      <c r="K1396" s="185"/>
      <c r="L1396" s="186"/>
      <c r="M1396" s="36">
        <v>5000000</v>
      </c>
      <c r="N1396" s="37"/>
      <c r="O1396" s="37" t="s">
        <v>34</v>
      </c>
      <c r="P1396" s="47" t="str">
        <f>IF(AND('331-CT'!$F$5=TH!H1396,OR(N1396="331",O1396="331")),"x","")</f>
        <v/>
      </c>
      <c r="Q1396" s="47" t="str">
        <f>IF(AND(B1396='111'!$L$11,OR($N1396=$Q$7,$O1396=$Q$7)),"x","")</f>
        <v/>
      </c>
      <c r="R1396" s="47" t="str">
        <f>IF(AND($N1396=$Q$7,$B1396&lt;'111'!$L$11),"x","")</f>
        <v/>
      </c>
      <c r="S1396" s="47" t="str">
        <f>IF(AND($O1396=$Q$7,$B1396&lt;'111'!$L$11),"x","")</f>
        <v>x</v>
      </c>
    </row>
    <row r="1397" spans="1:19" ht="15.75" customHeight="1">
      <c r="A1397" s="152" t="str">
        <f>IF(B1397&lt;&gt;"",IF(AND(B1397='IN-TC'!$S$4,OR(TH!N1397="1111",TH!O1397="1111")),TH!D1397,""),"")</f>
        <v/>
      </c>
      <c r="B1397" s="34">
        <f t="shared" si="47"/>
        <v>8</v>
      </c>
      <c r="C1397" s="35">
        <f t="shared" si="48"/>
        <v>42605</v>
      </c>
      <c r="D1397" s="212"/>
      <c r="E1397" s="35">
        <v>42605</v>
      </c>
      <c r="F1397" s="144" t="s">
        <v>1467</v>
      </c>
      <c r="G1397" s="191"/>
      <c r="H1397" s="198" t="s">
        <v>831</v>
      </c>
      <c r="I1397" s="186">
        <v>2060</v>
      </c>
      <c r="J1397" s="186">
        <v>12000</v>
      </c>
      <c r="K1397" s="185"/>
      <c r="L1397" s="186"/>
      <c r="M1397" s="36">
        <f>ROUND(I1397*J1397,0)</f>
        <v>24720000</v>
      </c>
      <c r="N1397" s="37" t="s">
        <v>1443</v>
      </c>
      <c r="O1397" s="37" t="s">
        <v>8</v>
      </c>
      <c r="P1397" s="47" t="str">
        <f>IF(AND('331-CT'!$F$5=TH!H1397,OR(N1397="331",O1397="331")),"x","")</f>
        <v/>
      </c>
      <c r="Q1397" s="47" t="str">
        <f>IF(AND(B1397='111'!$L$11,OR($N1397=$Q$7,$O1397=$Q$7)),"x","")</f>
        <v/>
      </c>
      <c r="R1397" s="47" t="str">
        <f>IF(AND($N1397=$Q$7,$B1397&lt;'111'!$L$11),"x","")</f>
        <v/>
      </c>
      <c r="S1397" s="47" t="str">
        <f>IF(AND($O1397=$Q$7,$B1397&lt;'111'!$L$11),"x","")</f>
        <v/>
      </c>
    </row>
    <row r="1398" spans="1:19" ht="15.75" customHeight="1">
      <c r="A1398" s="152" t="str">
        <f>IF(B1398&lt;&gt;"",IF(AND(B1398='IN-TC'!$S$4,OR(TH!N1398="1111",TH!O1398="1111")),TH!D1398,""),"")</f>
        <v/>
      </c>
      <c r="B1398" s="34">
        <f t="shared" si="47"/>
        <v>8</v>
      </c>
      <c r="C1398" s="35">
        <f t="shared" si="48"/>
        <v>42605</v>
      </c>
      <c r="D1398" s="212"/>
      <c r="E1398" s="35">
        <v>42605</v>
      </c>
      <c r="F1398" s="144" t="s">
        <v>1467</v>
      </c>
      <c r="G1398" s="191"/>
      <c r="H1398" s="198" t="s">
        <v>1123</v>
      </c>
      <c r="I1398" s="186">
        <v>1360</v>
      </c>
      <c r="J1398" s="186">
        <v>12000</v>
      </c>
      <c r="K1398" s="185"/>
      <c r="L1398" s="186"/>
      <c r="M1398" s="36">
        <f>ROUND(I1398*J1398,-3)</f>
        <v>16320000</v>
      </c>
      <c r="N1398" s="37" t="s">
        <v>1443</v>
      </c>
      <c r="O1398" s="37" t="s">
        <v>8</v>
      </c>
      <c r="P1398" s="47" t="str">
        <f>IF(AND('331-CT'!$F$5=TH!H1398,OR(N1398="331",O1398="331")),"x","")</f>
        <v/>
      </c>
      <c r="Q1398" s="47" t="str">
        <f>IF(AND(B1398='111'!$L$11,OR($N1398=$Q$7,$O1398=$Q$7)),"x","")</f>
        <v/>
      </c>
      <c r="R1398" s="47" t="str">
        <f>IF(AND($N1398=$Q$7,$B1398&lt;'111'!$L$11),"x","")</f>
        <v/>
      </c>
      <c r="S1398" s="47" t="str">
        <f>IF(AND($O1398=$Q$7,$B1398&lt;'111'!$L$11),"x","")</f>
        <v/>
      </c>
    </row>
    <row r="1399" spans="1:19" ht="15.75" customHeight="1">
      <c r="A1399" s="152" t="str">
        <f>IF(B1399&lt;&gt;"",IF(AND(B1399='IN-TC'!$S$4,OR(TH!N1399="1111",TH!O1399="1111")),TH!D1399,""),"")</f>
        <v/>
      </c>
      <c r="B1399" s="34">
        <f t="shared" si="47"/>
        <v>8</v>
      </c>
      <c r="C1399" s="35">
        <f t="shared" si="48"/>
        <v>42606</v>
      </c>
      <c r="D1399" s="212" t="s">
        <v>977</v>
      </c>
      <c r="E1399" s="35">
        <v>42606</v>
      </c>
      <c r="F1399" s="144" t="s">
        <v>1144</v>
      </c>
      <c r="G1399" s="191" t="s">
        <v>104</v>
      </c>
      <c r="H1399" s="198"/>
      <c r="I1399" s="186"/>
      <c r="J1399" s="186"/>
      <c r="K1399" s="185"/>
      <c r="L1399" s="186"/>
      <c r="M1399" s="36">
        <v>215000000</v>
      </c>
      <c r="N1399" s="37"/>
      <c r="O1399" s="37" t="s">
        <v>34</v>
      </c>
      <c r="P1399" s="47" t="str">
        <f>IF(AND('331-CT'!$F$5=TH!H1399,OR(N1399="331",O1399="331")),"x","")</f>
        <v/>
      </c>
      <c r="Q1399" s="47" t="str">
        <f>IF(AND(B1399='111'!$L$11,OR($N1399=$Q$7,$O1399=$Q$7)),"x","")</f>
        <v/>
      </c>
      <c r="R1399" s="47" t="str">
        <f>IF(AND($N1399=$Q$7,$B1399&lt;'111'!$L$11),"x","")</f>
        <v/>
      </c>
      <c r="S1399" s="47" t="str">
        <f>IF(AND($O1399=$Q$7,$B1399&lt;'111'!$L$11),"x","")</f>
        <v>x</v>
      </c>
    </row>
    <row r="1400" spans="1:19" ht="15.75" customHeight="1">
      <c r="A1400" s="152" t="str">
        <f>IF(B1400&lt;&gt;"",IF(AND(B1400='IN-TC'!$S$4,OR(TH!N1400="1111",TH!O1400="1111")),TH!D1400,""),"")</f>
        <v/>
      </c>
      <c r="B1400" s="34">
        <f t="shared" si="47"/>
        <v>8</v>
      </c>
      <c r="C1400" s="35">
        <f t="shared" si="48"/>
        <v>42606</v>
      </c>
      <c r="D1400" s="212" t="s">
        <v>978</v>
      </c>
      <c r="E1400" s="35">
        <v>42606</v>
      </c>
      <c r="F1400" s="144" t="s">
        <v>1145</v>
      </c>
      <c r="G1400" s="191"/>
      <c r="H1400" s="198"/>
      <c r="I1400" s="186"/>
      <c r="J1400" s="186"/>
      <c r="K1400" s="185"/>
      <c r="L1400" s="186"/>
      <c r="M1400" s="36">
        <v>7240000</v>
      </c>
      <c r="N1400" s="37"/>
      <c r="O1400" s="37" t="s">
        <v>34</v>
      </c>
      <c r="P1400" s="47" t="str">
        <f>IF(AND('331-CT'!$F$5=TH!H1400,OR(N1400="331",O1400="331")),"x","")</f>
        <v/>
      </c>
      <c r="Q1400" s="47" t="str">
        <f>IF(AND(B1400='111'!$L$11,OR($N1400=$Q$7,$O1400=$Q$7)),"x","")</f>
        <v/>
      </c>
      <c r="R1400" s="47" t="str">
        <f>IF(AND($N1400=$Q$7,$B1400&lt;'111'!$L$11),"x","")</f>
        <v/>
      </c>
      <c r="S1400" s="47" t="str">
        <f>IF(AND($O1400=$Q$7,$B1400&lt;'111'!$L$11),"x","")</f>
        <v>x</v>
      </c>
    </row>
    <row r="1401" spans="1:19" ht="15.75" customHeight="1">
      <c r="A1401" s="152" t="str">
        <f>IF(B1401&lt;&gt;"",IF(AND(B1401='IN-TC'!$S$4,OR(TH!N1401="1111",TH!O1401="1111")),TH!D1401,""),"")</f>
        <v/>
      </c>
      <c r="B1401" s="34">
        <f t="shared" si="47"/>
        <v>8</v>
      </c>
      <c r="C1401" s="35">
        <f t="shared" si="48"/>
        <v>42606</v>
      </c>
      <c r="D1401" s="212" t="s">
        <v>979</v>
      </c>
      <c r="E1401" s="35">
        <v>42606</v>
      </c>
      <c r="F1401" s="144" t="s">
        <v>1146</v>
      </c>
      <c r="G1401" s="191" t="s">
        <v>207</v>
      </c>
      <c r="H1401" s="198"/>
      <c r="I1401" s="186"/>
      <c r="J1401" s="186"/>
      <c r="K1401" s="185"/>
      <c r="L1401" s="186"/>
      <c r="M1401" s="36">
        <v>1000000</v>
      </c>
      <c r="N1401" s="37"/>
      <c r="O1401" s="37" t="s">
        <v>34</v>
      </c>
      <c r="P1401" s="47" t="str">
        <f>IF(AND('331-CT'!$F$5=TH!H1401,OR(N1401="331",O1401="331")),"x","")</f>
        <v/>
      </c>
      <c r="Q1401" s="47" t="str">
        <f>IF(AND(B1401='111'!$L$11,OR($N1401=$Q$7,$O1401=$Q$7)),"x","")</f>
        <v/>
      </c>
      <c r="R1401" s="47" t="str">
        <f>IF(AND($N1401=$Q$7,$B1401&lt;'111'!$L$11),"x","")</f>
        <v/>
      </c>
      <c r="S1401" s="47" t="str">
        <f>IF(AND($O1401=$Q$7,$B1401&lt;'111'!$L$11),"x","")</f>
        <v>x</v>
      </c>
    </row>
    <row r="1402" spans="1:19" ht="15.75" customHeight="1">
      <c r="A1402" s="152" t="str">
        <f>IF(B1402&lt;&gt;"",IF(AND(B1402='IN-TC'!$S$4,OR(TH!N1402="1111",TH!O1402="1111")),TH!D1402,""),"")</f>
        <v/>
      </c>
      <c r="B1402" s="34">
        <f t="shared" si="47"/>
        <v>8</v>
      </c>
      <c r="C1402" s="35">
        <f t="shared" si="48"/>
        <v>42606</v>
      </c>
      <c r="D1402" s="212" t="s">
        <v>980</v>
      </c>
      <c r="E1402" s="35">
        <v>42606</v>
      </c>
      <c r="F1402" s="144" t="s">
        <v>1147</v>
      </c>
      <c r="G1402" s="191" t="s">
        <v>207</v>
      </c>
      <c r="H1402" s="198"/>
      <c r="I1402" s="186"/>
      <c r="J1402" s="186"/>
      <c r="K1402" s="185"/>
      <c r="L1402" s="186"/>
      <c r="M1402" s="36">
        <v>930000</v>
      </c>
      <c r="N1402" s="37"/>
      <c r="O1402" s="37" t="s">
        <v>34</v>
      </c>
      <c r="P1402" s="47" t="str">
        <f>IF(AND('331-CT'!$F$5=TH!H1402,OR(N1402="331",O1402="331")),"x","")</f>
        <v/>
      </c>
      <c r="Q1402" s="47" t="str">
        <f>IF(AND(B1402='111'!$L$11,OR($N1402=$Q$7,$O1402=$Q$7)),"x","")</f>
        <v/>
      </c>
      <c r="R1402" s="47" t="str">
        <f>IF(AND($N1402=$Q$7,$B1402&lt;'111'!$L$11),"x","")</f>
        <v/>
      </c>
      <c r="S1402" s="47" t="str">
        <f>IF(AND($O1402=$Q$7,$B1402&lt;'111'!$L$11),"x","")</f>
        <v>x</v>
      </c>
    </row>
    <row r="1403" spans="1:19" ht="15.75" customHeight="1">
      <c r="A1403" s="152" t="str">
        <f>IF(B1403&lt;&gt;"",IF(AND(B1403='IN-TC'!$S$4,OR(TH!N1403="1111",TH!O1403="1111")),TH!D1403,""),"")</f>
        <v/>
      </c>
      <c r="B1403" s="34">
        <f t="shared" si="47"/>
        <v>8</v>
      </c>
      <c r="C1403" s="35">
        <f t="shared" si="48"/>
        <v>42606</v>
      </c>
      <c r="D1403" s="212" t="s">
        <v>981</v>
      </c>
      <c r="E1403" s="35">
        <v>42606</v>
      </c>
      <c r="F1403" s="144" t="s">
        <v>1148</v>
      </c>
      <c r="G1403" s="191"/>
      <c r="H1403" s="198"/>
      <c r="I1403" s="186"/>
      <c r="J1403" s="186"/>
      <c r="K1403" s="185"/>
      <c r="L1403" s="186"/>
      <c r="M1403" s="36">
        <v>2687000</v>
      </c>
      <c r="N1403" s="37"/>
      <c r="O1403" s="37" t="s">
        <v>34</v>
      </c>
      <c r="P1403" s="47" t="str">
        <f>IF(AND('331-CT'!$F$5=TH!H1403,OR(N1403="331",O1403="331")),"x","")</f>
        <v/>
      </c>
      <c r="Q1403" s="47" t="str">
        <f>IF(AND(B1403='111'!$L$11,OR($N1403=$Q$7,$O1403=$Q$7)),"x","")</f>
        <v/>
      </c>
      <c r="R1403" s="47" t="str">
        <f>IF(AND($N1403=$Q$7,$B1403&lt;'111'!$L$11),"x","")</f>
        <v/>
      </c>
      <c r="S1403" s="47" t="str">
        <f>IF(AND($O1403=$Q$7,$B1403&lt;'111'!$L$11),"x","")</f>
        <v>x</v>
      </c>
    </row>
    <row r="1404" spans="1:19" ht="15.75" customHeight="1">
      <c r="A1404" s="152" t="str">
        <f>IF(B1404&lt;&gt;"",IF(AND(B1404='IN-TC'!$S$4,OR(TH!N1404="1111",TH!O1404="1111")),TH!D1404,""),"")</f>
        <v/>
      </c>
      <c r="B1404" s="34">
        <f t="shared" si="47"/>
        <v>8</v>
      </c>
      <c r="C1404" s="35">
        <f t="shared" si="48"/>
        <v>42606</v>
      </c>
      <c r="D1404" s="212" t="s">
        <v>982</v>
      </c>
      <c r="E1404" s="35">
        <v>42606</v>
      </c>
      <c r="F1404" s="144" t="s">
        <v>367</v>
      </c>
      <c r="G1404" s="191" t="s">
        <v>206</v>
      </c>
      <c r="H1404" s="198" t="s">
        <v>849</v>
      </c>
      <c r="I1404" s="186"/>
      <c r="J1404" s="186"/>
      <c r="K1404" s="185"/>
      <c r="L1404" s="186"/>
      <c r="M1404" s="36">
        <v>100000000</v>
      </c>
      <c r="N1404" s="37" t="s">
        <v>8</v>
      </c>
      <c r="O1404" s="37" t="s">
        <v>34</v>
      </c>
      <c r="P1404" s="47" t="str">
        <f>IF(AND('331-CT'!$F$5=TH!H1404,OR(N1404="331",O1404="331")),"x","")</f>
        <v/>
      </c>
      <c r="Q1404" s="47" t="str">
        <f>IF(AND(B1404='111'!$L$11,OR($N1404=$Q$7,$O1404=$Q$7)),"x","")</f>
        <v/>
      </c>
      <c r="R1404" s="47" t="str">
        <f>IF(AND($N1404=$Q$7,$B1404&lt;'111'!$L$11),"x","")</f>
        <v/>
      </c>
      <c r="S1404" s="47" t="str">
        <f>IF(AND($O1404=$Q$7,$B1404&lt;'111'!$L$11),"x","")</f>
        <v>x</v>
      </c>
    </row>
    <row r="1405" spans="1:19" ht="15.75" customHeight="1">
      <c r="A1405" s="152" t="str">
        <f>IF(B1405&lt;&gt;"",IF(AND(B1405='IN-TC'!$S$4,OR(TH!N1405="1111",TH!O1405="1111")),TH!D1405,""),"")</f>
        <v/>
      </c>
      <c r="B1405" s="34">
        <f t="shared" si="47"/>
        <v>8</v>
      </c>
      <c r="C1405" s="35">
        <f t="shared" si="48"/>
        <v>42606</v>
      </c>
      <c r="D1405" s="212" t="s">
        <v>983</v>
      </c>
      <c r="E1405" s="35">
        <v>42606</v>
      </c>
      <c r="F1405" s="144" t="s">
        <v>1150</v>
      </c>
      <c r="G1405" s="191"/>
      <c r="H1405" s="198"/>
      <c r="I1405" s="186"/>
      <c r="J1405" s="186"/>
      <c r="K1405" s="185"/>
      <c r="L1405" s="186"/>
      <c r="M1405" s="36">
        <v>443000</v>
      </c>
      <c r="N1405" s="37"/>
      <c r="O1405" s="37" t="s">
        <v>34</v>
      </c>
      <c r="P1405" s="47" t="str">
        <f>IF(AND('331-CT'!$F$5=TH!H1405,OR(N1405="331",O1405="331")),"x","")</f>
        <v/>
      </c>
      <c r="Q1405" s="47" t="str">
        <f>IF(AND(B1405='111'!$L$11,OR($N1405=$Q$7,$O1405=$Q$7)),"x","")</f>
        <v/>
      </c>
      <c r="R1405" s="47" t="str">
        <f>IF(AND($N1405=$Q$7,$B1405&lt;'111'!$L$11),"x","")</f>
        <v/>
      </c>
      <c r="S1405" s="47" t="str">
        <f>IF(AND($O1405=$Q$7,$B1405&lt;'111'!$L$11),"x","")</f>
        <v>x</v>
      </c>
    </row>
    <row r="1406" spans="1:19" ht="15.75" customHeight="1">
      <c r="A1406" s="152" t="str">
        <f>IF(B1406&lt;&gt;"",IF(AND(B1406='IN-TC'!$S$4,OR(TH!N1406="1111",TH!O1406="1111")),TH!D1406,""),"")</f>
        <v/>
      </c>
      <c r="B1406" s="34">
        <f t="shared" si="47"/>
        <v>8</v>
      </c>
      <c r="C1406" s="35">
        <f t="shared" si="48"/>
        <v>42606</v>
      </c>
      <c r="D1406" s="212" t="s">
        <v>984</v>
      </c>
      <c r="E1406" s="35">
        <v>42606</v>
      </c>
      <c r="F1406" s="144" t="s">
        <v>1151</v>
      </c>
      <c r="G1406" s="191" t="s">
        <v>213</v>
      </c>
      <c r="H1406" s="198" t="s">
        <v>1088</v>
      </c>
      <c r="I1406" s="186"/>
      <c r="J1406" s="186"/>
      <c r="K1406" s="185"/>
      <c r="L1406" s="186"/>
      <c r="M1406" s="36">
        <v>8940000</v>
      </c>
      <c r="N1406" s="37"/>
      <c r="O1406" s="37" t="s">
        <v>34</v>
      </c>
      <c r="P1406" s="47" t="str">
        <f>IF(AND('331-CT'!$F$5=TH!H1406,OR(N1406="331",O1406="331")),"x","")</f>
        <v/>
      </c>
      <c r="Q1406" s="47" t="str">
        <f>IF(AND(B1406='111'!$L$11,OR($N1406=$Q$7,$O1406=$Q$7)),"x","")</f>
        <v/>
      </c>
      <c r="R1406" s="47" t="str">
        <f>IF(AND($N1406=$Q$7,$B1406&lt;'111'!$L$11),"x","")</f>
        <v/>
      </c>
      <c r="S1406" s="47" t="str">
        <f>IF(AND($O1406=$Q$7,$B1406&lt;'111'!$L$11),"x","")</f>
        <v>x</v>
      </c>
    </row>
    <row r="1407" spans="1:19" ht="15.75" customHeight="1">
      <c r="A1407" s="152" t="str">
        <f>IF(B1407&lt;&gt;"",IF(AND(B1407='IN-TC'!$S$4,OR(TH!N1407="1111",TH!O1407="1111")),TH!D1407,""),"")</f>
        <v/>
      </c>
      <c r="B1407" s="34">
        <f t="shared" si="47"/>
        <v>8</v>
      </c>
      <c r="C1407" s="35">
        <f t="shared" si="48"/>
        <v>42606</v>
      </c>
      <c r="D1407" s="212" t="s">
        <v>985</v>
      </c>
      <c r="E1407" s="35">
        <v>42606</v>
      </c>
      <c r="F1407" s="144" t="s">
        <v>1152</v>
      </c>
      <c r="G1407" s="191" t="s">
        <v>213</v>
      </c>
      <c r="H1407" s="198" t="s">
        <v>1428</v>
      </c>
      <c r="I1407" s="186"/>
      <c r="J1407" s="186"/>
      <c r="K1407" s="185"/>
      <c r="L1407" s="186"/>
      <c r="M1407" s="36">
        <v>5280000</v>
      </c>
      <c r="N1407" s="37"/>
      <c r="O1407" s="37" t="s">
        <v>34</v>
      </c>
      <c r="P1407" s="47" t="str">
        <f>IF(AND('331-CT'!$F$5=TH!H1407,OR(N1407="331",O1407="331")),"x","")</f>
        <v/>
      </c>
      <c r="Q1407" s="47" t="str">
        <f>IF(AND(B1407='111'!$L$11,OR($N1407=$Q$7,$O1407=$Q$7)),"x","")</f>
        <v/>
      </c>
      <c r="R1407" s="47" t="str">
        <f>IF(AND($N1407=$Q$7,$B1407&lt;'111'!$L$11),"x","")</f>
        <v/>
      </c>
      <c r="S1407" s="47" t="str">
        <f>IF(AND($O1407=$Q$7,$B1407&lt;'111'!$L$11),"x","")</f>
        <v>x</v>
      </c>
    </row>
    <row r="1408" spans="1:19" ht="15.75" customHeight="1">
      <c r="A1408" s="152" t="str">
        <f>IF(B1408&lt;&gt;"",IF(AND(B1408='IN-TC'!$S$4,OR(TH!N1408="1111",TH!O1408="1111")),TH!D1408,""),"")</f>
        <v/>
      </c>
      <c r="B1408" s="34">
        <f t="shared" si="47"/>
        <v>8</v>
      </c>
      <c r="C1408" s="35">
        <f t="shared" si="48"/>
        <v>42606</v>
      </c>
      <c r="D1408" s="212" t="s">
        <v>986</v>
      </c>
      <c r="E1408" s="35">
        <v>42606</v>
      </c>
      <c r="F1408" s="144" t="s">
        <v>1153</v>
      </c>
      <c r="G1408" s="191"/>
      <c r="H1408" s="198"/>
      <c r="I1408" s="186"/>
      <c r="J1408" s="186"/>
      <c r="K1408" s="185"/>
      <c r="L1408" s="186"/>
      <c r="M1408" s="36">
        <v>2390000</v>
      </c>
      <c r="N1408" s="37"/>
      <c r="O1408" s="37" t="s">
        <v>34</v>
      </c>
      <c r="P1408" s="47" t="str">
        <f>IF(AND('331-CT'!$F$5=TH!H1408,OR(N1408="331",O1408="331")),"x","")</f>
        <v/>
      </c>
      <c r="Q1408" s="47" t="str">
        <f>IF(AND(B1408='111'!$L$11,OR($N1408=$Q$7,$O1408=$Q$7)),"x","")</f>
        <v/>
      </c>
      <c r="R1408" s="47" t="str">
        <f>IF(AND($N1408=$Q$7,$B1408&lt;'111'!$L$11),"x","")</f>
        <v/>
      </c>
      <c r="S1408" s="47" t="str">
        <f>IF(AND($O1408=$Q$7,$B1408&lt;'111'!$L$11),"x","")</f>
        <v>x</v>
      </c>
    </row>
    <row r="1409" spans="1:19" ht="15.75" customHeight="1">
      <c r="A1409" s="152" t="str">
        <f>IF(B1409&lt;&gt;"",IF(AND(B1409='IN-TC'!$S$4,OR(TH!N1409="1111",TH!O1409="1111")),TH!D1409,""),"")</f>
        <v/>
      </c>
      <c r="B1409" s="34">
        <f t="shared" si="47"/>
        <v>8</v>
      </c>
      <c r="C1409" s="35">
        <f t="shared" si="48"/>
        <v>42607</v>
      </c>
      <c r="D1409" s="212"/>
      <c r="E1409" s="35">
        <v>42607</v>
      </c>
      <c r="F1409" s="144" t="s">
        <v>1439</v>
      </c>
      <c r="G1409" s="191" t="s">
        <v>1454</v>
      </c>
      <c r="H1409" s="198" t="s">
        <v>849</v>
      </c>
      <c r="I1409" s="186">
        <v>1657</v>
      </c>
      <c r="J1409" s="186">
        <v>125000</v>
      </c>
      <c r="K1409" s="185"/>
      <c r="L1409" s="186"/>
      <c r="M1409" s="36">
        <f>ROUND(I1409*J1409,0)</f>
        <v>207125000</v>
      </c>
      <c r="N1409" s="37" t="s">
        <v>1443</v>
      </c>
      <c r="O1409" s="37" t="s">
        <v>8</v>
      </c>
      <c r="P1409" s="47" t="str">
        <f>IF(AND('331-CT'!$F$5=TH!H1409,OR(N1409="331",O1409="331")),"x","")</f>
        <v/>
      </c>
      <c r="Q1409" s="47" t="str">
        <f>IF(AND(B1409='111'!$L$11,OR($N1409=$Q$7,$O1409=$Q$7)),"x","")</f>
        <v/>
      </c>
      <c r="R1409" s="47" t="str">
        <f>IF(AND($N1409=$Q$7,$B1409&lt;'111'!$L$11),"x","")</f>
        <v/>
      </c>
      <c r="S1409" s="47" t="str">
        <f>IF(AND($O1409=$Q$7,$B1409&lt;'111'!$L$11),"x","")</f>
        <v/>
      </c>
    </row>
    <row r="1410" spans="1:19" ht="15.75" customHeight="1">
      <c r="A1410" s="152" t="str">
        <f>IF(B1410&lt;&gt;"",IF(AND(B1410='IN-TC'!$S$4,OR(TH!N1410="1111",TH!O1410="1111")),TH!D1410,""),"")</f>
        <v/>
      </c>
      <c r="B1410" s="34">
        <f t="shared" si="47"/>
        <v>8</v>
      </c>
      <c r="C1410" s="35">
        <f t="shared" si="48"/>
        <v>42607</v>
      </c>
      <c r="D1410" s="212"/>
      <c r="E1410" s="35">
        <v>42607</v>
      </c>
      <c r="F1410" s="144" t="s">
        <v>1467</v>
      </c>
      <c r="G1410" s="191"/>
      <c r="H1410" s="198" t="s">
        <v>831</v>
      </c>
      <c r="I1410" s="186">
        <v>1040</v>
      </c>
      <c r="J1410" s="186">
        <v>12000</v>
      </c>
      <c r="K1410" s="185"/>
      <c r="L1410" s="186"/>
      <c r="M1410" s="36">
        <f>ROUND(I1410*J1410,0)</f>
        <v>12480000</v>
      </c>
      <c r="N1410" s="37" t="s">
        <v>1443</v>
      </c>
      <c r="O1410" s="37" t="s">
        <v>8</v>
      </c>
      <c r="P1410" s="47" t="str">
        <f>IF(AND('331-CT'!$F$5=TH!H1410,OR(N1410="331",O1410="331")),"x","")</f>
        <v/>
      </c>
      <c r="Q1410" s="47" t="str">
        <f>IF(AND(B1410='111'!$L$11,OR($N1410=$Q$7,$O1410=$Q$7)),"x","")</f>
        <v/>
      </c>
      <c r="R1410" s="47" t="str">
        <f>IF(AND($N1410=$Q$7,$B1410&lt;'111'!$L$11),"x","")</f>
        <v/>
      </c>
      <c r="S1410" s="47" t="str">
        <f>IF(AND($O1410=$Q$7,$B1410&lt;'111'!$L$11),"x","")</f>
        <v/>
      </c>
    </row>
    <row r="1411" spans="1:19" ht="15.75" customHeight="1">
      <c r="A1411" s="152" t="str">
        <f>IF(B1411&lt;&gt;"",IF(AND(B1411='IN-TC'!$S$4,OR(TH!N1411="1111",TH!O1411="1111")),TH!D1411,""),"")</f>
        <v/>
      </c>
      <c r="B1411" s="34">
        <f t="shared" si="47"/>
        <v>8</v>
      </c>
      <c r="C1411" s="35">
        <f t="shared" si="48"/>
        <v>42607</v>
      </c>
      <c r="D1411" s="212"/>
      <c r="E1411" s="35">
        <v>42607</v>
      </c>
      <c r="F1411" s="144" t="s">
        <v>1491</v>
      </c>
      <c r="G1411" s="191" t="s">
        <v>204</v>
      </c>
      <c r="H1411" s="198" t="s">
        <v>823</v>
      </c>
      <c r="I1411" s="186">
        <v>755</v>
      </c>
      <c r="J1411" s="186">
        <v>48000</v>
      </c>
      <c r="K1411" s="185"/>
      <c r="L1411" s="186"/>
      <c r="M1411" s="36">
        <f>ROUND(I1411*J1411,0)</f>
        <v>36240000</v>
      </c>
      <c r="N1411" s="37" t="s">
        <v>1443</v>
      </c>
      <c r="O1411" s="37" t="s">
        <v>8</v>
      </c>
      <c r="P1411" s="47" t="str">
        <f>IF(AND('331-CT'!$F$5=TH!H1411,OR(N1411="331",O1411="331")),"x","")</f>
        <v/>
      </c>
      <c r="Q1411" s="47" t="str">
        <f>IF(AND(B1411='111'!$L$11,OR($N1411=$Q$7,$O1411=$Q$7)),"x","")</f>
        <v/>
      </c>
      <c r="R1411" s="47" t="str">
        <f>IF(AND($N1411=$Q$7,$B1411&lt;'111'!$L$11),"x","")</f>
        <v/>
      </c>
      <c r="S1411" s="47" t="str">
        <f>IF(AND($O1411=$Q$7,$B1411&lt;'111'!$L$11),"x","")</f>
        <v/>
      </c>
    </row>
    <row r="1412" spans="1:19" ht="15.75" customHeight="1">
      <c r="A1412" s="152" t="str">
        <f>IF(B1412&lt;&gt;"",IF(AND(B1412='IN-TC'!$S$4,OR(TH!N1412="1111",TH!O1412="1111")),TH!D1412,""),"")</f>
        <v/>
      </c>
      <c r="B1412" s="34">
        <f t="shared" si="47"/>
        <v>8</v>
      </c>
      <c r="C1412" s="35">
        <f t="shared" si="48"/>
        <v>42607</v>
      </c>
      <c r="D1412" s="212"/>
      <c r="E1412" s="35">
        <v>42607</v>
      </c>
      <c r="F1412" s="144" t="s">
        <v>1473</v>
      </c>
      <c r="G1412" s="191" t="s">
        <v>204</v>
      </c>
      <c r="H1412" s="198" t="s">
        <v>823</v>
      </c>
      <c r="I1412" s="186">
        <v>29</v>
      </c>
      <c r="J1412" s="186">
        <v>21000</v>
      </c>
      <c r="K1412" s="185"/>
      <c r="L1412" s="186"/>
      <c r="M1412" s="36">
        <f>ROUND(I1412*J1412,0)</f>
        <v>609000</v>
      </c>
      <c r="N1412" s="37" t="s">
        <v>1443</v>
      </c>
      <c r="O1412" s="37" t="s">
        <v>8</v>
      </c>
      <c r="P1412" s="47" t="str">
        <f>IF(AND('331-CT'!$F$5=TH!H1412,OR(N1412="331",O1412="331")),"x","")</f>
        <v/>
      </c>
      <c r="Q1412" s="47" t="str">
        <f>IF(AND(B1412='111'!$L$11,OR($N1412=$Q$7,$O1412=$Q$7)),"x","")</f>
        <v/>
      </c>
      <c r="R1412" s="47" t="str">
        <f>IF(AND($N1412=$Q$7,$B1412&lt;'111'!$L$11),"x","")</f>
        <v/>
      </c>
      <c r="S1412" s="47" t="str">
        <f>IF(AND($O1412=$Q$7,$B1412&lt;'111'!$L$11),"x","")</f>
        <v/>
      </c>
    </row>
    <row r="1413" spans="1:19" ht="15.75" customHeight="1">
      <c r="A1413" s="152" t="str">
        <f>IF(B1413&lt;&gt;"",IF(AND(B1413='IN-TC'!$S$4,OR(TH!N1413="1111",TH!O1413="1111")),TH!D1413,""),"")</f>
        <v/>
      </c>
      <c r="B1413" s="34">
        <f t="shared" si="47"/>
        <v>8</v>
      </c>
      <c r="C1413" s="35">
        <f t="shared" si="48"/>
        <v>42608</v>
      </c>
      <c r="D1413" s="212" t="s">
        <v>987</v>
      </c>
      <c r="E1413" s="35">
        <v>42608</v>
      </c>
      <c r="F1413" s="144" t="s">
        <v>1154</v>
      </c>
      <c r="G1413" s="191" t="s">
        <v>206</v>
      </c>
      <c r="H1413" s="198" t="s">
        <v>1422</v>
      </c>
      <c r="I1413" s="186"/>
      <c r="J1413" s="186"/>
      <c r="K1413" s="185"/>
      <c r="L1413" s="186"/>
      <c r="M1413" s="36">
        <v>50000000</v>
      </c>
      <c r="N1413" s="37" t="s">
        <v>8</v>
      </c>
      <c r="O1413" s="37" t="s">
        <v>34</v>
      </c>
      <c r="P1413" s="47" t="str">
        <f>IF(AND('331-CT'!$F$5=TH!H1413,OR(N1413="331",O1413="331")),"x","")</f>
        <v/>
      </c>
      <c r="Q1413" s="47" t="str">
        <f>IF(AND(B1413='111'!$L$11,OR($N1413=$Q$7,$O1413=$Q$7)),"x","")</f>
        <v/>
      </c>
      <c r="R1413" s="47" t="str">
        <f>IF(AND($N1413=$Q$7,$B1413&lt;'111'!$L$11),"x","")</f>
        <v/>
      </c>
      <c r="S1413" s="47" t="str">
        <f>IF(AND($O1413=$Q$7,$B1413&lt;'111'!$L$11),"x","")</f>
        <v>x</v>
      </c>
    </row>
    <row r="1414" spans="1:19" ht="15.75" customHeight="1">
      <c r="A1414" s="152" t="str">
        <f>IF(B1414&lt;&gt;"",IF(AND(B1414='IN-TC'!$S$4,OR(TH!N1414="1111",TH!O1414="1111")),TH!D1414,""),"")</f>
        <v/>
      </c>
      <c r="B1414" s="34">
        <f t="shared" si="47"/>
        <v>8</v>
      </c>
      <c r="C1414" s="35">
        <f t="shared" si="48"/>
        <v>42608</v>
      </c>
      <c r="D1414" s="212" t="s">
        <v>987</v>
      </c>
      <c r="E1414" s="35">
        <v>42608</v>
      </c>
      <c r="F1414" s="144" t="s">
        <v>1154</v>
      </c>
      <c r="G1414" s="191" t="s">
        <v>206</v>
      </c>
      <c r="H1414" s="198" t="s">
        <v>1397</v>
      </c>
      <c r="I1414" s="186"/>
      <c r="J1414" s="186"/>
      <c r="K1414" s="185"/>
      <c r="L1414" s="186"/>
      <c r="M1414" s="36">
        <v>46500000</v>
      </c>
      <c r="N1414" s="37" t="s">
        <v>8</v>
      </c>
      <c r="O1414" s="37" t="s">
        <v>34</v>
      </c>
      <c r="P1414" s="47" t="str">
        <f>IF(AND('331-CT'!$F$5=TH!H1414,OR(N1414="331",O1414="331")),"x","")</f>
        <v/>
      </c>
      <c r="Q1414" s="47" t="str">
        <f>IF(AND(B1414='111'!$L$11,OR($N1414=$Q$7,$O1414=$Q$7)),"x","")</f>
        <v/>
      </c>
      <c r="R1414" s="47" t="str">
        <f>IF(AND($N1414=$Q$7,$B1414&lt;'111'!$L$11),"x","")</f>
        <v/>
      </c>
      <c r="S1414" s="47" t="str">
        <f>IF(AND($O1414=$Q$7,$B1414&lt;'111'!$L$11),"x","")</f>
        <v>x</v>
      </c>
    </row>
    <row r="1415" spans="1:19" ht="15.75" customHeight="1">
      <c r="A1415" s="152" t="str">
        <f>IF(B1415&lt;&gt;"",IF(AND(B1415='IN-TC'!$S$4,OR(TH!N1415="1111",TH!O1415="1111")),TH!D1415,""),"")</f>
        <v/>
      </c>
      <c r="B1415" s="34">
        <f t="shared" si="47"/>
        <v>8</v>
      </c>
      <c r="C1415" s="35">
        <f t="shared" si="48"/>
        <v>42608</v>
      </c>
      <c r="D1415" s="212" t="s">
        <v>987</v>
      </c>
      <c r="E1415" s="35">
        <v>42608</v>
      </c>
      <c r="F1415" s="144" t="s">
        <v>288</v>
      </c>
      <c r="G1415" s="191"/>
      <c r="H1415" s="198"/>
      <c r="I1415" s="186"/>
      <c r="J1415" s="186"/>
      <c r="K1415" s="185"/>
      <c r="L1415" s="186"/>
      <c r="M1415" s="36">
        <v>3500000</v>
      </c>
      <c r="N1415" s="37" t="s">
        <v>1425</v>
      </c>
      <c r="O1415" s="37" t="s">
        <v>34</v>
      </c>
      <c r="P1415" s="47" t="str">
        <f>IF(AND('331-CT'!$F$5=TH!H1415,OR(N1415="331",O1415="331")),"x","")</f>
        <v/>
      </c>
      <c r="Q1415" s="47" t="str">
        <f>IF(AND(B1415='111'!$L$11,OR($N1415=$Q$7,$O1415=$Q$7)),"x","")</f>
        <v/>
      </c>
      <c r="R1415" s="47" t="str">
        <f>IF(AND($N1415=$Q$7,$B1415&lt;'111'!$L$11),"x","")</f>
        <v/>
      </c>
      <c r="S1415" s="47" t="str">
        <f>IF(AND($O1415=$Q$7,$B1415&lt;'111'!$L$11),"x","")</f>
        <v>x</v>
      </c>
    </row>
    <row r="1416" spans="1:19" ht="15.75" customHeight="1">
      <c r="A1416" s="152" t="str">
        <f>IF(B1416&lt;&gt;"",IF(AND(B1416='IN-TC'!$S$4,OR(TH!N1416="1111",TH!O1416="1111")),TH!D1416,""),"")</f>
        <v/>
      </c>
      <c r="B1416" s="34">
        <f t="shared" si="47"/>
        <v>8</v>
      </c>
      <c r="C1416" s="35">
        <f t="shared" si="48"/>
        <v>42608</v>
      </c>
      <c r="D1416" s="212" t="s">
        <v>988</v>
      </c>
      <c r="E1416" s="35">
        <v>42608</v>
      </c>
      <c r="F1416" s="144" t="s">
        <v>1155</v>
      </c>
      <c r="G1416" s="191" t="s">
        <v>207</v>
      </c>
      <c r="H1416" s="198"/>
      <c r="I1416" s="186"/>
      <c r="J1416" s="186"/>
      <c r="K1416" s="185"/>
      <c r="L1416" s="186"/>
      <c r="M1416" s="36">
        <v>3509000</v>
      </c>
      <c r="N1416" s="37"/>
      <c r="O1416" s="37" t="s">
        <v>34</v>
      </c>
      <c r="P1416" s="47" t="str">
        <f>IF(AND('331-CT'!$F$5=TH!H1416,OR(N1416="331",O1416="331")),"x","")</f>
        <v/>
      </c>
      <c r="Q1416" s="47" t="str">
        <f>IF(AND(B1416='111'!$L$11,OR($N1416=$Q$7,$O1416=$Q$7)),"x","")</f>
        <v/>
      </c>
      <c r="R1416" s="47" t="str">
        <f>IF(AND($N1416=$Q$7,$B1416&lt;'111'!$L$11),"x","")</f>
        <v/>
      </c>
      <c r="S1416" s="47" t="str">
        <f>IF(AND($O1416=$Q$7,$B1416&lt;'111'!$L$11),"x","")</f>
        <v>x</v>
      </c>
    </row>
    <row r="1417" spans="1:19" ht="15.75" customHeight="1">
      <c r="A1417" s="152" t="str">
        <f>IF(B1417&lt;&gt;"",IF(AND(B1417='IN-TC'!$S$4,OR(TH!N1417="1111",TH!O1417="1111")),TH!D1417,""),"")</f>
        <v/>
      </c>
      <c r="B1417" s="34">
        <f t="shared" si="47"/>
        <v>8</v>
      </c>
      <c r="C1417" s="35">
        <f t="shared" si="48"/>
        <v>42608</v>
      </c>
      <c r="D1417" s="212" t="s">
        <v>989</v>
      </c>
      <c r="E1417" s="35">
        <v>42608</v>
      </c>
      <c r="F1417" s="144" t="s">
        <v>1052</v>
      </c>
      <c r="G1417" s="191"/>
      <c r="H1417" s="198"/>
      <c r="I1417" s="186"/>
      <c r="J1417" s="186"/>
      <c r="K1417" s="185"/>
      <c r="L1417" s="186"/>
      <c r="M1417" s="36">
        <v>5500000</v>
      </c>
      <c r="N1417" s="37"/>
      <c r="O1417" s="37" t="s">
        <v>34</v>
      </c>
      <c r="P1417" s="47" t="str">
        <f>IF(AND('331-CT'!$F$5=TH!H1417,OR(N1417="331",O1417="331")),"x","")</f>
        <v/>
      </c>
      <c r="Q1417" s="47" t="str">
        <f>IF(AND(B1417='111'!$L$11,OR($N1417=$Q$7,$O1417=$Q$7)),"x","")</f>
        <v/>
      </c>
      <c r="R1417" s="47" t="str">
        <f>IF(AND($N1417=$Q$7,$B1417&lt;'111'!$L$11),"x","")</f>
        <v/>
      </c>
      <c r="S1417" s="47" t="str">
        <f>IF(AND($O1417=$Q$7,$B1417&lt;'111'!$L$11),"x","")</f>
        <v>x</v>
      </c>
    </row>
    <row r="1418" spans="1:19" ht="15.75" customHeight="1">
      <c r="A1418" s="152" t="str">
        <f>IF(B1418&lt;&gt;"",IF(AND(B1418='IN-TC'!$S$4,OR(TH!N1418="1111",TH!O1418="1111")),TH!D1418,""),"")</f>
        <v/>
      </c>
      <c r="B1418" s="34">
        <f t="shared" si="47"/>
        <v>8</v>
      </c>
      <c r="C1418" s="35">
        <f t="shared" si="48"/>
        <v>42608</v>
      </c>
      <c r="D1418" s="212" t="s">
        <v>990</v>
      </c>
      <c r="E1418" s="35">
        <v>42608</v>
      </c>
      <c r="F1418" s="144" t="s">
        <v>1156</v>
      </c>
      <c r="G1418" s="191"/>
      <c r="H1418" s="198"/>
      <c r="I1418" s="186"/>
      <c r="J1418" s="186"/>
      <c r="K1418" s="185"/>
      <c r="L1418" s="186"/>
      <c r="M1418" s="36">
        <v>600000</v>
      </c>
      <c r="N1418" s="37"/>
      <c r="O1418" s="37" t="s">
        <v>34</v>
      </c>
      <c r="P1418" s="47" t="str">
        <f>IF(AND('331-CT'!$F$5=TH!H1418,OR(N1418="331",O1418="331")),"x","")</f>
        <v/>
      </c>
      <c r="Q1418" s="47" t="str">
        <f>IF(AND(B1418='111'!$L$11,OR($N1418=$Q$7,$O1418=$Q$7)),"x","")</f>
        <v/>
      </c>
      <c r="R1418" s="47" t="str">
        <f>IF(AND($N1418=$Q$7,$B1418&lt;'111'!$L$11),"x","")</f>
        <v/>
      </c>
      <c r="S1418" s="47" t="str">
        <f>IF(AND($O1418=$Q$7,$B1418&lt;'111'!$L$11),"x","")</f>
        <v>x</v>
      </c>
    </row>
    <row r="1419" spans="1:19" ht="15.75" customHeight="1">
      <c r="A1419" s="152" t="str">
        <f>IF(B1419&lt;&gt;"",IF(AND(B1419='IN-TC'!$S$4,OR(TH!N1419="1111",TH!O1419="1111")),TH!D1419,""),"")</f>
        <v/>
      </c>
      <c r="B1419" s="34">
        <f t="shared" si="47"/>
        <v>8</v>
      </c>
      <c r="C1419" s="35">
        <f t="shared" si="48"/>
        <v>42608</v>
      </c>
      <c r="D1419" s="212" t="s">
        <v>991</v>
      </c>
      <c r="E1419" s="35">
        <v>42608</v>
      </c>
      <c r="F1419" s="144" t="s">
        <v>1157</v>
      </c>
      <c r="G1419" s="191"/>
      <c r="H1419" s="198"/>
      <c r="I1419" s="186"/>
      <c r="J1419" s="186"/>
      <c r="K1419" s="185"/>
      <c r="L1419" s="186"/>
      <c r="M1419" s="36">
        <v>1620000</v>
      </c>
      <c r="N1419" s="37"/>
      <c r="O1419" s="37" t="s">
        <v>34</v>
      </c>
      <c r="P1419" s="47" t="str">
        <f>IF(AND('331-CT'!$F$5=TH!H1419,OR(N1419="331",O1419="331")),"x","")</f>
        <v/>
      </c>
      <c r="Q1419" s="47" t="str">
        <f>IF(AND(B1419='111'!$L$11,OR($N1419=$Q$7,$O1419=$Q$7)),"x","")</f>
        <v/>
      </c>
      <c r="R1419" s="47" t="str">
        <f>IF(AND($N1419=$Q$7,$B1419&lt;'111'!$L$11),"x","")</f>
        <v/>
      </c>
      <c r="S1419" s="47" t="str">
        <f>IF(AND($O1419=$Q$7,$B1419&lt;'111'!$L$11),"x","")</f>
        <v>x</v>
      </c>
    </row>
    <row r="1420" spans="1:19" ht="15.75" customHeight="1">
      <c r="A1420" s="152" t="str">
        <f>IF(B1420&lt;&gt;"",IF(AND(B1420='IN-TC'!$S$4,OR(TH!N1420="1111",TH!O1420="1111")),TH!D1420,""),"")</f>
        <v/>
      </c>
      <c r="B1420" s="34">
        <f t="shared" si="47"/>
        <v>8</v>
      </c>
      <c r="C1420" s="35">
        <f t="shared" si="48"/>
        <v>42608</v>
      </c>
      <c r="D1420" s="212" t="s">
        <v>992</v>
      </c>
      <c r="E1420" s="35">
        <v>42608</v>
      </c>
      <c r="F1420" s="144" t="s">
        <v>1390</v>
      </c>
      <c r="G1420" s="191" t="s">
        <v>206</v>
      </c>
      <c r="H1420" s="198" t="s">
        <v>820</v>
      </c>
      <c r="I1420" s="186"/>
      <c r="J1420" s="186"/>
      <c r="K1420" s="185"/>
      <c r="L1420" s="186"/>
      <c r="M1420" s="36">
        <v>100330000</v>
      </c>
      <c r="N1420" s="37" t="s">
        <v>8</v>
      </c>
      <c r="O1420" s="37" t="s">
        <v>34</v>
      </c>
      <c r="P1420" s="47" t="str">
        <f>IF(AND('331-CT'!$F$5=TH!H1420,OR(N1420="331",O1420="331")),"x","")</f>
        <v/>
      </c>
      <c r="Q1420" s="47" t="str">
        <f>IF(AND(B1420='111'!$L$11,OR($N1420=$Q$7,$O1420=$Q$7)),"x","")</f>
        <v/>
      </c>
      <c r="R1420" s="47" t="str">
        <f>IF(AND($N1420=$Q$7,$B1420&lt;'111'!$L$11),"x","")</f>
        <v/>
      </c>
      <c r="S1420" s="47" t="str">
        <f>IF(AND($O1420=$Q$7,$B1420&lt;'111'!$L$11),"x","")</f>
        <v>x</v>
      </c>
    </row>
    <row r="1421" spans="1:19" ht="15.75" customHeight="1">
      <c r="A1421" s="152" t="str">
        <f>IF(B1421&lt;&gt;"",IF(AND(B1421='IN-TC'!$S$4,OR(TH!N1421="1111",TH!O1421="1111")),TH!D1421,""),"")</f>
        <v/>
      </c>
      <c r="B1421" s="34">
        <f t="shared" ref="B1421:B1484" si="49">IF(C1421&lt;&gt;"",MONTH(C1421),"")</f>
        <v>8</v>
      </c>
      <c r="C1421" s="35">
        <f t="shared" ref="C1421:C1484" si="50">E1421</f>
        <v>42608</v>
      </c>
      <c r="D1421" s="212" t="s">
        <v>993</v>
      </c>
      <c r="E1421" s="35">
        <v>42608</v>
      </c>
      <c r="F1421" s="144" t="s">
        <v>1158</v>
      </c>
      <c r="G1421" s="191" t="s">
        <v>110</v>
      </c>
      <c r="H1421" s="198"/>
      <c r="I1421" s="186"/>
      <c r="J1421" s="186"/>
      <c r="K1421" s="185"/>
      <c r="L1421" s="186"/>
      <c r="M1421" s="36">
        <v>1000000</v>
      </c>
      <c r="N1421" s="37"/>
      <c r="O1421" s="37" t="s">
        <v>34</v>
      </c>
      <c r="P1421" s="47" t="str">
        <f>IF(AND('331-CT'!$F$5=TH!H1421,OR(N1421="331",O1421="331")),"x","")</f>
        <v/>
      </c>
      <c r="Q1421" s="47" t="str">
        <f>IF(AND(B1421='111'!$L$11,OR($N1421=$Q$7,$O1421=$Q$7)),"x","")</f>
        <v/>
      </c>
      <c r="R1421" s="47" t="str">
        <f>IF(AND($N1421=$Q$7,$B1421&lt;'111'!$L$11),"x","")</f>
        <v/>
      </c>
      <c r="S1421" s="47" t="str">
        <f>IF(AND($O1421=$Q$7,$B1421&lt;'111'!$L$11),"x","")</f>
        <v>x</v>
      </c>
    </row>
    <row r="1422" spans="1:19" ht="15.75" customHeight="1">
      <c r="A1422" s="152" t="str">
        <f>IF(B1422&lt;&gt;"",IF(AND(B1422='IN-TC'!$S$4,OR(TH!N1422="1111",TH!O1422="1111")),TH!D1422,""),"")</f>
        <v/>
      </c>
      <c r="B1422" s="34">
        <f t="shared" si="49"/>
        <v>8</v>
      </c>
      <c r="C1422" s="35">
        <f t="shared" si="50"/>
        <v>42609</v>
      </c>
      <c r="D1422" s="212" t="s">
        <v>994</v>
      </c>
      <c r="E1422" s="35">
        <v>42609</v>
      </c>
      <c r="F1422" s="144" t="s">
        <v>1159</v>
      </c>
      <c r="G1422" s="191"/>
      <c r="H1422" s="198"/>
      <c r="I1422" s="186"/>
      <c r="J1422" s="186"/>
      <c r="K1422" s="185"/>
      <c r="L1422" s="186"/>
      <c r="M1422" s="36">
        <v>1744000</v>
      </c>
      <c r="N1422" s="37"/>
      <c r="O1422" s="37" t="s">
        <v>34</v>
      </c>
      <c r="P1422" s="47" t="str">
        <f>IF(AND('331-CT'!$F$5=TH!H1422,OR(N1422="331",O1422="331")),"x","")</f>
        <v/>
      </c>
      <c r="Q1422" s="47" t="str">
        <f>IF(AND(B1422='111'!$L$11,OR($N1422=$Q$7,$O1422=$Q$7)),"x","")</f>
        <v/>
      </c>
      <c r="R1422" s="47" t="str">
        <f>IF(AND($N1422=$Q$7,$B1422&lt;'111'!$L$11),"x","")</f>
        <v/>
      </c>
      <c r="S1422" s="47" t="str">
        <f>IF(AND($O1422=$Q$7,$B1422&lt;'111'!$L$11),"x","")</f>
        <v>x</v>
      </c>
    </row>
    <row r="1423" spans="1:19" ht="15.75" customHeight="1">
      <c r="A1423" s="152" t="str">
        <f>IF(B1423&lt;&gt;"",IF(AND(B1423='IN-TC'!$S$4,OR(TH!N1423="1111",TH!O1423="1111")),TH!D1423,""),"")</f>
        <v/>
      </c>
      <c r="B1423" s="34">
        <f t="shared" si="49"/>
        <v>8</v>
      </c>
      <c r="C1423" s="35">
        <f t="shared" si="50"/>
        <v>42609</v>
      </c>
      <c r="D1423" s="212" t="s">
        <v>995</v>
      </c>
      <c r="E1423" s="35">
        <v>42609</v>
      </c>
      <c r="F1423" s="144" t="s">
        <v>1160</v>
      </c>
      <c r="G1423" s="191" t="s">
        <v>207</v>
      </c>
      <c r="H1423" s="198"/>
      <c r="I1423" s="186"/>
      <c r="J1423" s="186"/>
      <c r="K1423" s="185"/>
      <c r="L1423" s="186"/>
      <c r="M1423" s="36">
        <v>500000</v>
      </c>
      <c r="N1423" s="37"/>
      <c r="O1423" s="37" t="s">
        <v>34</v>
      </c>
      <c r="P1423" s="47" t="str">
        <f>IF(AND('331-CT'!$F$5=TH!H1423,OR(N1423="331",O1423="331")),"x","")</f>
        <v/>
      </c>
      <c r="Q1423" s="47" t="str">
        <f>IF(AND(B1423='111'!$L$11,OR($N1423=$Q$7,$O1423=$Q$7)),"x","")</f>
        <v/>
      </c>
      <c r="R1423" s="47" t="str">
        <f>IF(AND($N1423=$Q$7,$B1423&lt;'111'!$L$11),"x","")</f>
        <v/>
      </c>
      <c r="S1423" s="47" t="str">
        <f>IF(AND($O1423=$Q$7,$B1423&lt;'111'!$L$11),"x","")</f>
        <v>x</v>
      </c>
    </row>
    <row r="1424" spans="1:19" ht="15.75" customHeight="1">
      <c r="A1424" s="152" t="str">
        <f>IF(B1424&lt;&gt;"",IF(AND(B1424='IN-TC'!$S$4,OR(TH!N1424="1111",TH!O1424="1111")),TH!D1424,""),"")</f>
        <v/>
      </c>
      <c r="B1424" s="34">
        <f t="shared" si="49"/>
        <v>8</v>
      </c>
      <c r="C1424" s="35">
        <f t="shared" si="50"/>
        <v>42609</v>
      </c>
      <c r="D1424" s="212" t="s">
        <v>996</v>
      </c>
      <c r="E1424" s="35">
        <v>42609</v>
      </c>
      <c r="F1424" s="144" t="s">
        <v>1161</v>
      </c>
      <c r="G1424" s="191" t="s">
        <v>207</v>
      </c>
      <c r="H1424" s="198"/>
      <c r="I1424" s="186"/>
      <c r="J1424" s="186"/>
      <c r="K1424" s="185"/>
      <c r="L1424" s="186"/>
      <c r="M1424" s="36">
        <v>2000000</v>
      </c>
      <c r="N1424" s="37"/>
      <c r="O1424" s="37" t="s">
        <v>34</v>
      </c>
      <c r="P1424" s="47" t="str">
        <f>IF(AND('331-CT'!$F$5=TH!H1424,OR(N1424="331",O1424="331")),"x","")</f>
        <v/>
      </c>
      <c r="Q1424" s="47" t="str">
        <f>IF(AND(B1424='111'!$L$11,OR($N1424=$Q$7,$O1424=$Q$7)),"x","")</f>
        <v/>
      </c>
      <c r="R1424" s="47" t="str">
        <f>IF(AND($N1424=$Q$7,$B1424&lt;'111'!$L$11),"x","")</f>
        <v/>
      </c>
      <c r="S1424" s="47" t="str">
        <f>IF(AND($O1424=$Q$7,$B1424&lt;'111'!$L$11),"x","")</f>
        <v>x</v>
      </c>
    </row>
    <row r="1425" spans="1:19" ht="15.75" customHeight="1">
      <c r="A1425" s="152" t="str">
        <f>IF(B1425&lt;&gt;"",IF(AND(B1425='IN-TC'!$S$4,OR(TH!N1425="1111",TH!O1425="1111")),TH!D1425,""),"")</f>
        <v/>
      </c>
      <c r="B1425" s="34">
        <f t="shared" si="49"/>
        <v>8</v>
      </c>
      <c r="C1425" s="35">
        <f t="shared" si="50"/>
        <v>42609</v>
      </c>
      <c r="D1425" s="212"/>
      <c r="E1425" s="35">
        <v>42609</v>
      </c>
      <c r="F1425" s="144" t="s">
        <v>1451</v>
      </c>
      <c r="G1425" s="191"/>
      <c r="H1425" s="198" t="s">
        <v>1422</v>
      </c>
      <c r="I1425" s="186">
        <v>6313</v>
      </c>
      <c r="J1425" s="186">
        <v>13000</v>
      </c>
      <c r="K1425" s="185"/>
      <c r="L1425" s="186"/>
      <c r="M1425" s="36">
        <f>ROUND(I1425*J1425,0)</f>
        <v>82069000</v>
      </c>
      <c r="N1425" s="37" t="s">
        <v>1443</v>
      </c>
      <c r="O1425" s="37" t="s">
        <v>8</v>
      </c>
      <c r="P1425" s="47" t="str">
        <f>IF(AND('331-CT'!$F$5=TH!H1425,OR(N1425="331",O1425="331")),"x","")</f>
        <v/>
      </c>
      <c r="Q1425" s="47" t="str">
        <f>IF(AND(B1425='111'!$L$11,OR($N1425=$Q$7,$O1425=$Q$7)),"x","")</f>
        <v/>
      </c>
      <c r="R1425" s="47" t="str">
        <f>IF(AND($N1425=$Q$7,$B1425&lt;'111'!$L$11),"x","")</f>
        <v/>
      </c>
      <c r="S1425" s="47" t="str">
        <f>IF(AND($O1425=$Q$7,$B1425&lt;'111'!$L$11),"x","")</f>
        <v/>
      </c>
    </row>
    <row r="1426" spans="1:19" ht="15.75" customHeight="1">
      <c r="A1426" s="152" t="str">
        <f>IF(B1426&lt;&gt;"",IF(AND(B1426='IN-TC'!$S$4,OR(TH!N1426="1111",TH!O1426="1111")),TH!D1426,""),"")</f>
        <v/>
      </c>
      <c r="B1426" s="34">
        <f t="shared" si="49"/>
        <v>8</v>
      </c>
      <c r="C1426" s="35">
        <f t="shared" si="50"/>
        <v>42609</v>
      </c>
      <c r="D1426" s="212"/>
      <c r="E1426" s="35">
        <v>42609</v>
      </c>
      <c r="F1426" s="144" t="s">
        <v>1455</v>
      </c>
      <c r="G1426" s="191"/>
      <c r="H1426" s="198" t="s">
        <v>1422</v>
      </c>
      <c r="I1426" s="186">
        <v>959</v>
      </c>
      <c r="J1426" s="186">
        <v>130000</v>
      </c>
      <c r="K1426" s="185"/>
      <c r="L1426" s="186"/>
      <c r="M1426" s="36">
        <f>ROUND(I1426*J1426,0)</f>
        <v>124670000</v>
      </c>
      <c r="N1426" s="37" t="s">
        <v>1443</v>
      </c>
      <c r="O1426" s="37" t="s">
        <v>8</v>
      </c>
      <c r="P1426" s="47" t="str">
        <f>IF(AND('331-CT'!$F$5=TH!H1426,OR(N1426="331",O1426="331")),"x","")</f>
        <v/>
      </c>
      <c r="Q1426" s="47" t="str">
        <f>IF(AND(B1426='111'!$L$11,OR($N1426=$Q$7,$O1426=$Q$7)),"x","")</f>
        <v/>
      </c>
      <c r="R1426" s="47" t="str">
        <f>IF(AND($N1426=$Q$7,$B1426&lt;'111'!$L$11),"x","")</f>
        <v/>
      </c>
      <c r="S1426" s="47" t="str">
        <f>IF(AND($O1426=$Q$7,$B1426&lt;'111'!$L$11),"x","")</f>
        <v/>
      </c>
    </row>
    <row r="1427" spans="1:19" ht="15.75" customHeight="1">
      <c r="A1427" s="152" t="str">
        <f>IF(B1427&lt;&gt;"",IF(AND(B1427='IN-TC'!$S$4,OR(TH!N1427="1111",TH!O1427="1111")),TH!D1427,""),"")</f>
        <v/>
      </c>
      <c r="B1427" s="34">
        <f t="shared" si="49"/>
        <v>8</v>
      </c>
      <c r="C1427" s="35">
        <f t="shared" si="50"/>
        <v>42609</v>
      </c>
      <c r="D1427" s="212"/>
      <c r="E1427" s="35">
        <v>42609</v>
      </c>
      <c r="F1427" s="144" t="s">
        <v>1469</v>
      </c>
      <c r="G1427" s="191"/>
      <c r="H1427" s="198" t="s">
        <v>1420</v>
      </c>
      <c r="I1427" s="186">
        <v>4596</v>
      </c>
      <c r="J1427" s="186">
        <v>24000</v>
      </c>
      <c r="K1427" s="185"/>
      <c r="L1427" s="186"/>
      <c r="M1427" s="36">
        <f>ROUND(I1427*J1427,-3)</f>
        <v>110304000</v>
      </c>
      <c r="N1427" s="37" t="s">
        <v>1443</v>
      </c>
      <c r="O1427" s="37" t="s">
        <v>8</v>
      </c>
      <c r="P1427" s="47" t="str">
        <f>IF(AND('331-CT'!$F$5=TH!H1427,OR(N1427="331",O1427="331")),"x","")</f>
        <v/>
      </c>
      <c r="Q1427" s="47" t="str">
        <f>IF(AND(B1427='111'!$L$11,OR($N1427=$Q$7,$O1427=$Q$7)),"x","")</f>
        <v/>
      </c>
      <c r="R1427" s="47" t="str">
        <f>IF(AND($N1427=$Q$7,$B1427&lt;'111'!$L$11),"x","")</f>
        <v/>
      </c>
      <c r="S1427" s="47" t="str">
        <f>IF(AND($O1427=$Q$7,$B1427&lt;'111'!$L$11),"x","")</f>
        <v/>
      </c>
    </row>
    <row r="1428" spans="1:19" ht="15.75" customHeight="1">
      <c r="A1428" s="152" t="str">
        <f>IF(B1428&lt;&gt;"",IF(AND(B1428='IN-TC'!$S$4,OR(TH!N1428="1111",TH!O1428="1111")),TH!D1428,""),"")</f>
        <v/>
      </c>
      <c r="B1428" s="34">
        <f t="shared" si="49"/>
        <v>8</v>
      </c>
      <c r="C1428" s="35">
        <f t="shared" si="50"/>
        <v>42610</v>
      </c>
      <c r="D1428" s="212"/>
      <c r="E1428" s="35">
        <v>42610</v>
      </c>
      <c r="F1428" s="144" t="s">
        <v>1467</v>
      </c>
      <c r="G1428" s="191"/>
      <c r="H1428" s="198" t="s">
        <v>831</v>
      </c>
      <c r="I1428" s="186">
        <v>1300</v>
      </c>
      <c r="J1428" s="186">
        <v>11000</v>
      </c>
      <c r="K1428" s="185"/>
      <c r="L1428" s="186"/>
      <c r="M1428" s="36">
        <f>ROUND(I1428*J1428,0)</f>
        <v>14300000</v>
      </c>
      <c r="N1428" s="37" t="s">
        <v>1443</v>
      </c>
      <c r="O1428" s="37" t="s">
        <v>8</v>
      </c>
      <c r="P1428" s="47" t="str">
        <f>IF(AND('331-CT'!$F$5=TH!H1428,OR(N1428="331",O1428="331")),"x","")</f>
        <v/>
      </c>
      <c r="Q1428" s="47" t="str">
        <f>IF(AND(B1428='111'!$L$11,OR($N1428=$Q$7,$O1428=$Q$7)),"x","")</f>
        <v/>
      </c>
      <c r="R1428" s="47" t="str">
        <f>IF(AND($N1428=$Q$7,$B1428&lt;'111'!$L$11),"x","")</f>
        <v/>
      </c>
      <c r="S1428" s="47" t="str">
        <f>IF(AND($O1428=$Q$7,$B1428&lt;'111'!$L$11),"x","")</f>
        <v/>
      </c>
    </row>
    <row r="1429" spans="1:19" ht="15.75" customHeight="1">
      <c r="A1429" s="152" t="str">
        <f>IF(B1429&lt;&gt;"",IF(AND(B1429='IN-TC'!$S$4,OR(TH!N1429="1111",TH!O1429="1111")),TH!D1429,""),"")</f>
        <v/>
      </c>
      <c r="B1429" s="34">
        <f t="shared" si="49"/>
        <v>8</v>
      </c>
      <c r="C1429" s="35">
        <f t="shared" si="50"/>
        <v>42610</v>
      </c>
      <c r="D1429" s="212"/>
      <c r="E1429" s="35">
        <v>42610</v>
      </c>
      <c r="F1429" s="144" t="s">
        <v>1464</v>
      </c>
      <c r="G1429" s="191"/>
      <c r="H1429" s="198" t="s">
        <v>821</v>
      </c>
      <c r="I1429" s="186">
        <v>2127</v>
      </c>
      <c r="J1429" s="186">
        <v>21000</v>
      </c>
      <c r="K1429" s="185"/>
      <c r="L1429" s="186"/>
      <c r="M1429" s="36">
        <f>ROUND(I1429*J1429,0)</f>
        <v>44667000</v>
      </c>
      <c r="N1429" s="37" t="s">
        <v>1443</v>
      </c>
      <c r="O1429" s="37" t="s">
        <v>8</v>
      </c>
      <c r="P1429" s="47" t="str">
        <f>IF(AND('331-CT'!$F$5=TH!H1429,OR(N1429="331",O1429="331")),"x","")</f>
        <v/>
      </c>
      <c r="Q1429" s="47" t="str">
        <f>IF(AND(B1429='111'!$L$11,OR($N1429=$Q$7,$O1429=$Q$7)),"x","")</f>
        <v/>
      </c>
      <c r="R1429" s="47" t="str">
        <f>IF(AND($N1429=$Q$7,$B1429&lt;'111'!$L$11),"x","")</f>
        <v/>
      </c>
      <c r="S1429" s="47" t="str">
        <f>IF(AND($O1429=$Q$7,$B1429&lt;'111'!$L$11),"x","")</f>
        <v/>
      </c>
    </row>
    <row r="1430" spans="1:19" ht="15.75" customHeight="1">
      <c r="A1430" s="152" t="str">
        <f>IF(B1430&lt;&gt;"",IF(AND(B1430='IN-TC'!$S$4,OR(TH!N1430="1111",TH!O1430="1111")),TH!D1430,""),"")</f>
        <v/>
      </c>
      <c r="B1430" s="34">
        <f t="shared" si="49"/>
        <v>8</v>
      </c>
      <c r="C1430" s="35">
        <f t="shared" si="50"/>
        <v>42610</v>
      </c>
      <c r="D1430" s="212"/>
      <c r="E1430" s="35">
        <v>42610</v>
      </c>
      <c r="F1430" s="144" t="s">
        <v>1469</v>
      </c>
      <c r="G1430" s="191"/>
      <c r="H1430" s="198" t="s">
        <v>1420</v>
      </c>
      <c r="I1430" s="186">
        <v>3600</v>
      </c>
      <c r="J1430" s="186">
        <v>24000</v>
      </c>
      <c r="K1430" s="185"/>
      <c r="L1430" s="186"/>
      <c r="M1430" s="36">
        <f>ROUND(I1430*J1430,-3)</f>
        <v>86400000</v>
      </c>
      <c r="N1430" s="37" t="s">
        <v>1443</v>
      </c>
      <c r="O1430" s="37" t="s">
        <v>8</v>
      </c>
      <c r="P1430" s="47" t="str">
        <f>IF(AND('331-CT'!$F$5=TH!H1430,OR(N1430="331",O1430="331")),"x","")</f>
        <v/>
      </c>
      <c r="Q1430" s="47" t="str">
        <f>IF(AND(B1430='111'!$L$11,OR($N1430=$Q$7,$O1430=$Q$7)),"x","")</f>
        <v/>
      </c>
      <c r="R1430" s="47" t="str">
        <f>IF(AND($N1430=$Q$7,$B1430&lt;'111'!$L$11),"x","")</f>
        <v/>
      </c>
      <c r="S1430" s="47" t="str">
        <f>IF(AND($O1430=$Q$7,$B1430&lt;'111'!$L$11),"x","")</f>
        <v/>
      </c>
    </row>
    <row r="1431" spans="1:19" ht="15.75" customHeight="1">
      <c r="A1431" s="152" t="str">
        <f>IF(B1431&lt;&gt;"",IF(AND(B1431='IN-TC'!$S$4,OR(TH!N1431="1111",TH!O1431="1111")),TH!D1431,""),"")</f>
        <v/>
      </c>
      <c r="B1431" s="34">
        <f t="shared" si="49"/>
        <v>8</v>
      </c>
      <c r="C1431" s="35">
        <f t="shared" si="50"/>
        <v>42610</v>
      </c>
      <c r="D1431" s="212"/>
      <c r="E1431" s="35">
        <v>42610</v>
      </c>
      <c r="F1431" s="144" t="s">
        <v>1499</v>
      </c>
      <c r="G1431" s="191"/>
      <c r="H1431" s="198" t="s">
        <v>1420</v>
      </c>
      <c r="I1431" s="186">
        <v>1483</v>
      </c>
      <c r="J1431" s="186">
        <v>22000</v>
      </c>
      <c r="K1431" s="185"/>
      <c r="L1431" s="186"/>
      <c r="M1431" s="36">
        <f>ROUND(I1431*J1431,-3)</f>
        <v>32626000</v>
      </c>
      <c r="N1431" s="37" t="s">
        <v>1443</v>
      </c>
      <c r="O1431" s="37" t="s">
        <v>8</v>
      </c>
      <c r="P1431" s="47" t="str">
        <f>IF(AND('331-CT'!$F$5=TH!H1431,OR(N1431="331",O1431="331")),"x","")</f>
        <v/>
      </c>
      <c r="Q1431" s="47" t="str">
        <f>IF(AND(B1431='111'!$L$11,OR($N1431=$Q$7,$O1431=$Q$7)),"x","")</f>
        <v/>
      </c>
      <c r="R1431" s="47" t="str">
        <f>IF(AND($N1431=$Q$7,$B1431&lt;'111'!$L$11),"x","")</f>
        <v/>
      </c>
      <c r="S1431" s="47" t="str">
        <f>IF(AND($O1431=$Q$7,$B1431&lt;'111'!$L$11),"x","")</f>
        <v/>
      </c>
    </row>
    <row r="1432" spans="1:19" ht="15.75" customHeight="1">
      <c r="A1432" s="152" t="str">
        <f>IF(B1432&lt;&gt;"",IF(AND(B1432='IN-TC'!$S$4,OR(TH!N1432="1111",TH!O1432="1111")),TH!D1432,""),"")</f>
        <v/>
      </c>
      <c r="B1432" s="34">
        <f t="shared" si="49"/>
        <v>8</v>
      </c>
      <c r="C1432" s="35">
        <f t="shared" si="50"/>
        <v>42611</v>
      </c>
      <c r="D1432" s="212" t="s">
        <v>1032</v>
      </c>
      <c r="E1432" s="35">
        <v>42611</v>
      </c>
      <c r="F1432" s="144" t="s">
        <v>1136</v>
      </c>
      <c r="G1432" s="191" t="s">
        <v>105</v>
      </c>
      <c r="H1432" s="198" t="s">
        <v>1413</v>
      </c>
      <c r="I1432" s="186"/>
      <c r="J1432" s="186"/>
      <c r="K1432" s="185"/>
      <c r="L1432" s="186"/>
      <c r="M1432" s="36">
        <v>1000000000</v>
      </c>
      <c r="N1432" s="37" t="s">
        <v>34</v>
      </c>
      <c r="O1432" s="37" t="s">
        <v>812</v>
      </c>
      <c r="P1432" s="47" t="str">
        <f>IF(AND('331-CT'!$F$5=TH!H1432,OR(N1432="331",O1432="331")),"x","")</f>
        <v/>
      </c>
      <c r="Q1432" s="47" t="str">
        <f>IF(AND(B1432='111'!$L$11,OR($N1432=$Q$7,$O1432=$Q$7)),"x","")</f>
        <v/>
      </c>
      <c r="R1432" s="47" t="str">
        <f>IF(AND($N1432=$Q$7,$B1432&lt;'111'!$L$11),"x","")</f>
        <v>x</v>
      </c>
      <c r="S1432" s="47" t="str">
        <f>IF(AND($O1432=$Q$7,$B1432&lt;'111'!$L$11),"x","")</f>
        <v/>
      </c>
    </row>
    <row r="1433" spans="1:19" ht="15.75" customHeight="1">
      <c r="A1433" s="152" t="str">
        <f>IF(B1433&lt;&gt;"",IF(AND(B1433='IN-TC'!$S$4,OR(TH!N1433="1111",TH!O1433="1111")),TH!D1433,""),"")</f>
        <v/>
      </c>
      <c r="B1433" s="34">
        <f t="shared" si="49"/>
        <v>8</v>
      </c>
      <c r="C1433" s="35">
        <f t="shared" si="50"/>
        <v>42611</v>
      </c>
      <c r="D1433" s="212" t="s">
        <v>1064</v>
      </c>
      <c r="E1433" s="35">
        <v>42611</v>
      </c>
      <c r="F1433" s="144" t="s">
        <v>1137</v>
      </c>
      <c r="G1433" s="191" t="s">
        <v>1429</v>
      </c>
      <c r="H1433" s="198"/>
      <c r="I1433" s="186"/>
      <c r="J1433" s="186"/>
      <c r="K1433" s="185"/>
      <c r="L1433" s="186"/>
      <c r="M1433" s="36">
        <v>200000000</v>
      </c>
      <c r="N1433" s="37" t="s">
        <v>34</v>
      </c>
      <c r="O1433" s="37"/>
      <c r="P1433" s="47" t="str">
        <f>IF(AND('331-CT'!$F$5=TH!H1433,OR(N1433="331",O1433="331")),"x","")</f>
        <v/>
      </c>
      <c r="Q1433" s="47" t="str">
        <f>IF(AND(B1433='111'!$L$11,OR($N1433=$Q$7,$O1433=$Q$7)),"x","")</f>
        <v/>
      </c>
      <c r="R1433" s="47" t="str">
        <f>IF(AND($N1433=$Q$7,$B1433&lt;'111'!$L$11),"x","")</f>
        <v>x</v>
      </c>
      <c r="S1433" s="47" t="str">
        <f>IF(AND($O1433=$Q$7,$B1433&lt;'111'!$L$11),"x","")</f>
        <v/>
      </c>
    </row>
    <row r="1434" spans="1:19" ht="15.75" customHeight="1">
      <c r="A1434" s="152" t="str">
        <f>IF(B1434&lt;&gt;"",IF(AND(B1434='IN-TC'!$S$4,OR(TH!N1434="1111",TH!O1434="1111")),TH!D1434,""),"")</f>
        <v/>
      </c>
      <c r="B1434" s="34">
        <f t="shared" si="49"/>
        <v>8</v>
      </c>
      <c r="C1434" s="35">
        <f t="shared" si="50"/>
        <v>42611</v>
      </c>
      <c r="D1434" s="212" t="s">
        <v>997</v>
      </c>
      <c r="E1434" s="35">
        <v>42611</v>
      </c>
      <c r="F1434" s="144" t="s">
        <v>1162</v>
      </c>
      <c r="G1434" s="191" t="s">
        <v>104</v>
      </c>
      <c r="H1434" s="198"/>
      <c r="I1434" s="186"/>
      <c r="J1434" s="186"/>
      <c r="K1434" s="185"/>
      <c r="L1434" s="186"/>
      <c r="M1434" s="36">
        <v>1800000000</v>
      </c>
      <c r="N1434" s="37" t="s">
        <v>1404</v>
      </c>
      <c r="O1434" s="37" t="s">
        <v>34</v>
      </c>
      <c r="P1434" s="47" t="str">
        <f>IF(AND('331-CT'!$F$5=TH!H1434,OR(N1434="331",O1434="331")),"x","")</f>
        <v/>
      </c>
      <c r="Q1434" s="47" t="str">
        <f>IF(AND(B1434='111'!$L$11,OR($N1434=$Q$7,$O1434=$Q$7)),"x","")</f>
        <v/>
      </c>
      <c r="R1434" s="47" t="str">
        <f>IF(AND($N1434=$Q$7,$B1434&lt;'111'!$L$11),"x","")</f>
        <v/>
      </c>
      <c r="S1434" s="47" t="str">
        <f>IF(AND($O1434=$Q$7,$B1434&lt;'111'!$L$11),"x","")</f>
        <v>x</v>
      </c>
    </row>
    <row r="1435" spans="1:19" ht="15.75" customHeight="1">
      <c r="A1435" s="152" t="str">
        <f>IF(B1435&lt;&gt;"",IF(AND(B1435='IN-TC'!$S$4,OR(TH!N1435="1111",TH!O1435="1111")),TH!D1435,""),"")</f>
        <v/>
      </c>
      <c r="B1435" s="34">
        <f t="shared" si="49"/>
        <v>8</v>
      </c>
      <c r="C1435" s="35">
        <f t="shared" si="50"/>
        <v>42611</v>
      </c>
      <c r="D1435" s="212" t="s">
        <v>998</v>
      </c>
      <c r="E1435" s="35">
        <v>42611</v>
      </c>
      <c r="F1435" s="144" t="s">
        <v>1163</v>
      </c>
      <c r="G1435" s="191"/>
      <c r="H1435" s="198"/>
      <c r="I1435" s="186"/>
      <c r="J1435" s="186"/>
      <c r="K1435" s="185"/>
      <c r="L1435" s="186"/>
      <c r="M1435" s="36">
        <v>1800000</v>
      </c>
      <c r="N1435" s="37"/>
      <c r="O1435" s="37" t="s">
        <v>34</v>
      </c>
      <c r="P1435" s="47" t="str">
        <f>IF(AND('331-CT'!$F$5=TH!H1435,OR(N1435="331",O1435="331")),"x","")</f>
        <v/>
      </c>
      <c r="Q1435" s="47" t="str">
        <f>IF(AND(B1435='111'!$L$11,OR($N1435=$Q$7,$O1435=$Q$7)),"x","")</f>
        <v/>
      </c>
      <c r="R1435" s="47" t="str">
        <f>IF(AND($N1435=$Q$7,$B1435&lt;'111'!$L$11),"x","")</f>
        <v/>
      </c>
      <c r="S1435" s="47" t="str">
        <f>IF(AND($O1435=$Q$7,$B1435&lt;'111'!$L$11),"x","")</f>
        <v>x</v>
      </c>
    </row>
    <row r="1436" spans="1:19" ht="15.75" customHeight="1">
      <c r="A1436" s="152" t="str">
        <f>IF(B1436&lt;&gt;"",IF(AND(B1436='IN-TC'!$S$4,OR(TH!N1436="1111",TH!O1436="1111")),TH!D1436,""),"")</f>
        <v/>
      </c>
      <c r="B1436" s="34">
        <f t="shared" si="49"/>
        <v>8</v>
      </c>
      <c r="C1436" s="35">
        <f t="shared" si="50"/>
        <v>42611</v>
      </c>
      <c r="D1436" s="212" t="s">
        <v>999</v>
      </c>
      <c r="E1436" s="35">
        <v>42611</v>
      </c>
      <c r="F1436" s="144" t="s">
        <v>1164</v>
      </c>
      <c r="G1436" s="191" t="s">
        <v>207</v>
      </c>
      <c r="H1436" s="198"/>
      <c r="I1436" s="186"/>
      <c r="J1436" s="186"/>
      <c r="K1436" s="185"/>
      <c r="L1436" s="186"/>
      <c r="M1436" s="36">
        <v>995000</v>
      </c>
      <c r="N1436" s="37"/>
      <c r="O1436" s="37" t="s">
        <v>34</v>
      </c>
      <c r="P1436" s="47" t="str">
        <f>IF(AND('331-CT'!$F$5=TH!H1436,OR(N1436="331",O1436="331")),"x","")</f>
        <v/>
      </c>
      <c r="Q1436" s="47" t="str">
        <f>IF(AND(B1436='111'!$L$11,OR($N1436=$Q$7,$O1436=$Q$7)),"x","")</f>
        <v/>
      </c>
      <c r="R1436" s="47" t="str">
        <f>IF(AND($N1436=$Q$7,$B1436&lt;'111'!$L$11),"x","")</f>
        <v/>
      </c>
      <c r="S1436" s="47" t="str">
        <f>IF(AND($O1436=$Q$7,$B1436&lt;'111'!$L$11),"x","")</f>
        <v>x</v>
      </c>
    </row>
    <row r="1437" spans="1:19" ht="15.75" customHeight="1">
      <c r="A1437" s="152" t="str">
        <f>IF(B1437&lt;&gt;"",IF(AND(B1437='IN-TC'!$S$4,OR(TH!N1437="1111",TH!O1437="1111")),TH!D1437,""),"")</f>
        <v/>
      </c>
      <c r="B1437" s="34">
        <f t="shared" si="49"/>
        <v>8</v>
      </c>
      <c r="C1437" s="35">
        <f t="shared" si="50"/>
        <v>42611</v>
      </c>
      <c r="D1437" s="212"/>
      <c r="E1437" s="35">
        <v>42611</v>
      </c>
      <c r="F1437" s="144" t="s">
        <v>1464</v>
      </c>
      <c r="G1437" s="191"/>
      <c r="H1437" s="198" t="s">
        <v>821</v>
      </c>
      <c r="I1437" s="186">
        <v>816</v>
      </c>
      <c r="J1437" s="186">
        <v>21000</v>
      </c>
      <c r="K1437" s="185"/>
      <c r="L1437" s="186"/>
      <c r="M1437" s="36">
        <f>ROUND(I1437*J1437,0)</f>
        <v>17136000</v>
      </c>
      <c r="N1437" s="37" t="s">
        <v>1443</v>
      </c>
      <c r="O1437" s="37" t="s">
        <v>8</v>
      </c>
      <c r="P1437" s="47" t="str">
        <f>IF(AND('331-CT'!$F$5=TH!H1437,OR(N1437="331",O1437="331")),"x","")</f>
        <v/>
      </c>
      <c r="Q1437" s="47" t="str">
        <f>IF(AND(B1437='111'!$L$11,OR($N1437=$Q$7,$O1437=$Q$7)),"x","")</f>
        <v/>
      </c>
      <c r="R1437" s="47" t="str">
        <f>IF(AND($N1437=$Q$7,$B1437&lt;'111'!$L$11),"x","")</f>
        <v/>
      </c>
      <c r="S1437" s="47" t="str">
        <f>IF(AND($O1437=$Q$7,$B1437&lt;'111'!$L$11),"x","")</f>
        <v/>
      </c>
    </row>
    <row r="1438" spans="1:19" ht="15.75" customHeight="1">
      <c r="A1438" s="152" t="str">
        <f>IF(B1438&lt;&gt;"",IF(AND(B1438='IN-TC'!$S$4,OR(TH!N1438="1111",TH!O1438="1111")),TH!D1438,""),"")</f>
        <v/>
      </c>
      <c r="B1438" s="34">
        <f t="shared" si="49"/>
        <v>8</v>
      </c>
      <c r="C1438" s="35">
        <f t="shared" si="50"/>
        <v>42611</v>
      </c>
      <c r="D1438" s="212"/>
      <c r="E1438" s="35">
        <v>42611</v>
      </c>
      <c r="F1438" s="144" t="s">
        <v>1473</v>
      </c>
      <c r="G1438" s="191"/>
      <c r="H1438" s="198" t="s">
        <v>821</v>
      </c>
      <c r="I1438" s="186">
        <v>349</v>
      </c>
      <c r="J1438" s="186">
        <v>26000</v>
      </c>
      <c r="K1438" s="185"/>
      <c r="L1438" s="186"/>
      <c r="M1438" s="36">
        <f>ROUND(I1438*J1438,0)</f>
        <v>9074000</v>
      </c>
      <c r="N1438" s="37" t="s">
        <v>1443</v>
      </c>
      <c r="O1438" s="37" t="s">
        <v>8</v>
      </c>
      <c r="P1438" s="47" t="str">
        <f>IF(AND('331-CT'!$F$5=TH!H1438,OR(N1438="331",O1438="331")),"x","")</f>
        <v/>
      </c>
      <c r="Q1438" s="47" t="str">
        <f>IF(AND(B1438='111'!$L$11,OR($N1438=$Q$7,$O1438=$Q$7)),"x","")</f>
        <v/>
      </c>
      <c r="R1438" s="47" t="str">
        <f>IF(AND($N1438=$Q$7,$B1438&lt;'111'!$L$11),"x","")</f>
        <v/>
      </c>
      <c r="S1438" s="47" t="str">
        <f>IF(AND($O1438=$Q$7,$B1438&lt;'111'!$L$11),"x","")</f>
        <v/>
      </c>
    </row>
    <row r="1439" spans="1:19" ht="15.75" customHeight="1">
      <c r="A1439" s="152" t="str">
        <f>IF(B1439&lt;&gt;"",IF(AND(B1439='IN-TC'!$S$4,OR(TH!N1439="1111",TH!O1439="1111")),TH!D1439,""),"")</f>
        <v/>
      </c>
      <c r="B1439" s="34">
        <f t="shared" si="49"/>
        <v>8</v>
      </c>
      <c r="C1439" s="35">
        <f t="shared" si="50"/>
        <v>42611</v>
      </c>
      <c r="D1439" s="212"/>
      <c r="E1439" s="35">
        <v>42611</v>
      </c>
      <c r="F1439" s="144" t="s">
        <v>1466</v>
      </c>
      <c r="G1439" s="191"/>
      <c r="H1439" s="198" t="s">
        <v>821</v>
      </c>
      <c r="I1439" s="186">
        <v>559</v>
      </c>
      <c r="J1439" s="186">
        <v>16000</v>
      </c>
      <c r="K1439" s="185"/>
      <c r="L1439" s="186"/>
      <c r="M1439" s="36">
        <f>ROUND(I1439*J1439,0)</f>
        <v>8944000</v>
      </c>
      <c r="N1439" s="37" t="s">
        <v>1443</v>
      </c>
      <c r="O1439" s="37" t="s">
        <v>8</v>
      </c>
      <c r="P1439" s="47" t="str">
        <f>IF(AND('331-CT'!$F$5=TH!H1439,OR(N1439="331",O1439="331")),"x","")</f>
        <v/>
      </c>
      <c r="Q1439" s="47" t="str">
        <f>IF(AND(B1439='111'!$L$11,OR($N1439=$Q$7,$O1439=$Q$7)),"x","")</f>
        <v/>
      </c>
      <c r="R1439" s="47" t="str">
        <f>IF(AND($N1439=$Q$7,$B1439&lt;'111'!$L$11),"x","")</f>
        <v/>
      </c>
      <c r="S1439" s="47" t="str">
        <f>IF(AND($O1439=$Q$7,$B1439&lt;'111'!$L$11),"x","")</f>
        <v/>
      </c>
    </row>
    <row r="1440" spans="1:19" ht="15.75" customHeight="1">
      <c r="A1440" s="152" t="str">
        <f>IF(B1440&lt;&gt;"",IF(AND(B1440='IN-TC'!$S$4,OR(TH!N1440="1111",TH!O1440="1111")),TH!D1440,""),"")</f>
        <v/>
      </c>
      <c r="B1440" s="34">
        <f t="shared" si="49"/>
        <v>8</v>
      </c>
      <c r="C1440" s="35">
        <f t="shared" si="50"/>
        <v>42612</v>
      </c>
      <c r="D1440" s="212" t="s">
        <v>1135</v>
      </c>
      <c r="E1440" s="35">
        <v>42612</v>
      </c>
      <c r="F1440" s="144" t="s">
        <v>1119</v>
      </c>
      <c r="G1440" s="191" t="s">
        <v>104</v>
      </c>
      <c r="H1440" s="198"/>
      <c r="I1440" s="186"/>
      <c r="J1440" s="186"/>
      <c r="K1440" s="185"/>
      <c r="L1440" s="186"/>
      <c r="M1440" s="36">
        <v>2000000000</v>
      </c>
      <c r="N1440" s="37" t="s">
        <v>34</v>
      </c>
      <c r="O1440" s="37" t="s">
        <v>1404</v>
      </c>
      <c r="P1440" s="47" t="str">
        <f>IF(AND('331-CT'!$F$5=TH!H1440,OR(N1440="331",O1440="331")),"x","")</f>
        <v/>
      </c>
      <c r="Q1440" s="47" t="str">
        <f>IF(AND(B1440='111'!$L$11,OR($N1440=$Q$7,$O1440=$Q$7)),"x","")</f>
        <v/>
      </c>
      <c r="R1440" s="47" t="str">
        <f>IF(AND($N1440=$Q$7,$B1440&lt;'111'!$L$11),"x","")</f>
        <v>x</v>
      </c>
      <c r="S1440" s="47" t="str">
        <f>IF(AND($O1440=$Q$7,$B1440&lt;'111'!$L$11),"x","")</f>
        <v/>
      </c>
    </row>
    <row r="1441" spans="1:19" ht="15.75" customHeight="1">
      <c r="A1441" s="152" t="str">
        <f>IF(B1441&lt;&gt;"",IF(AND(B1441='IN-TC'!$S$4,OR(TH!N1441="1111",TH!O1441="1111")),TH!D1441,""),"")</f>
        <v/>
      </c>
      <c r="B1441" s="34">
        <f t="shared" si="49"/>
        <v>8</v>
      </c>
      <c r="C1441" s="35">
        <f t="shared" si="50"/>
        <v>42612</v>
      </c>
      <c r="D1441" s="212" t="s">
        <v>1000</v>
      </c>
      <c r="E1441" s="35">
        <v>42612</v>
      </c>
      <c r="F1441" s="144" t="s">
        <v>1165</v>
      </c>
      <c r="G1441" s="191" t="s">
        <v>105</v>
      </c>
      <c r="H1441" s="198" t="s">
        <v>1414</v>
      </c>
      <c r="I1441" s="186"/>
      <c r="J1441" s="186"/>
      <c r="K1441" s="185"/>
      <c r="L1441" s="186"/>
      <c r="M1441" s="36">
        <v>200000000</v>
      </c>
      <c r="N1441" s="37" t="s">
        <v>812</v>
      </c>
      <c r="O1441" s="37" t="s">
        <v>34</v>
      </c>
      <c r="P1441" s="47" t="str">
        <f>IF(AND('331-CT'!$F$5=TH!H1441,OR(N1441="331",O1441="331")),"x","")</f>
        <v/>
      </c>
      <c r="Q1441" s="47" t="str">
        <f>IF(AND(B1441='111'!$L$11,OR($N1441=$Q$7,$O1441=$Q$7)),"x","")</f>
        <v/>
      </c>
      <c r="R1441" s="47" t="str">
        <f>IF(AND($N1441=$Q$7,$B1441&lt;'111'!$L$11),"x","")</f>
        <v/>
      </c>
      <c r="S1441" s="47" t="str">
        <f>IF(AND($O1441=$Q$7,$B1441&lt;'111'!$L$11),"x","")</f>
        <v>x</v>
      </c>
    </row>
    <row r="1442" spans="1:19" ht="15.75" customHeight="1">
      <c r="A1442" s="152" t="str">
        <f>IF(B1442&lt;&gt;"",IF(AND(B1442='IN-TC'!$S$4,OR(TH!N1442="1111",TH!O1442="1111")),TH!D1442,""),"")</f>
        <v/>
      </c>
      <c r="B1442" s="34">
        <f t="shared" si="49"/>
        <v>8</v>
      </c>
      <c r="C1442" s="35">
        <f t="shared" si="50"/>
        <v>42612</v>
      </c>
      <c r="D1442" s="212" t="s">
        <v>1001</v>
      </c>
      <c r="E1442" s="35">
        <v>42612</v>
      </c>
      <c r="F1442" s="144" t="s">
        <v>1166</v>
      </c>
      <c r="G1442" s="191" t="s">
        <v>105</v>
      </c>
      <c r="H1442" s="198" t="s">
        <v>1413</v>
      </c>
      <c r="I1442" s="186"/>
      <c r="J1442" s="186"/>
      <c r="K1442" s="185"/>
      <c r="L1442" s="186"/>
      <c r="M1442" s="36">
        <v>1000000000</v>
      </c>
      <c r="N1442" s="37" t="s">
        <v>812</v>
      </c>
      <c r="O1442" s="37" t="s">
        <v>34</v>
      </c>
      <c r="P1442" s="47" t="str">
        <f>IF(AND('331-CT'!$F$5=TH!H1442,OR(N1442="331",O1442="331")),"x","")</f>
        <v/>
      </c>
      <c r="Q1442" s="47" t="str">
        <f>IF(AND(B1442='111'!$L$11,OR($N1442=$Q$7,$O1442=$Q$7)),"x","")</f>
        <v/>
      </c>
      <c r="R1442" s="47" t="str">
        <f>IF(AND($N1442=$Q$7,$B1442&lt;'111'!$L$11),"x","")</f>
        <v/>
      </c>
      <c r="S1442" s="47" t="str">
        <f>IF(AND($O1442=$Q$7,$B1442&lt;'111'!$L$11),"x","")</f>
        <v>x</v>
      </c>
    </row>
    <row r="1443" spans="1:19" ht="15.75" customHeight="1">
      <c r="A1443" s="152" t="str">
        <f>IF(B1443&lt;&gt;"",IF(AND(B1443='IN-TC'!$S$4,OR(TH!N1443="1111",TH!O1443="1111")),TH!D1443,""),"")</f>
        <v/>
      </c>
      <c r="B1443" s="34">
        <f t="shared" si="49"/>
        <v>8</v>
      </c>
      <c r="C1443" s="35">
        <f t="shared" si="50"/>
        <v>42612</v>
      </c>
      <c r="D1443" s="212" t="s">
        <v>1001</v>
      </c>
      <c r="E1443" s="35">
        <v>42612</v>
      </c>
      <c r="F1443" s="144" t="s">
        <v>1166</v>
      </c>
      <c r="G1443" s="191" t="s">
        <v>203</v>
      </c>
      <c r="H1443" s="198" t="s">
        <v>1413</v>
      </c>
      <c r="I1443" s="186"/>
      <c r="J1443" s="186"/>
      <c r="K1443" s="185"/>
      <c r="L1443" s="186"/>
      <c r="M1443" s="36">
        <v>2298000</v>
      </c>
      <c r="N1443" s="37" t="s">
        <v>814</v>
      </c>
      <c r="O1443" s="37" t="s">
        <v>34</v>
      </c>
      <c r="P1443" s="47" t="str">
        <f>IF(AND('331-CT'!$F$5=TH!H1443,OR(N1443="331",O1443="331")),"x","")</f>
        <v/>
      </c>
      <c r="Q1443" s="47" t="str">
        <f>IF(AND(B1443='111'!$L$11,OR($N1443=$Q$7,$O1443=$Q$7)),"x","")</f>
        <v/>
      </c>
      <c r="R1443" s="47" t="str">
        <f>IF(AND($N1443=$Q$7,$B1443&lt;'111'!$L$11),"x","")</f>
        <v/>
      </c>
      <c r="S1443" s="47" t="str">
        <f>IF(AND($O1443=$Q$7,$B1443&lt;'111'!$L$11),"x","")</f>
        <v>x</v>
      </c>
    </row>
    <row r="1444" spans="1:19" ht="15.75" customHeight="1">
      <c r="A1444" s="152" t="str">
        <f>IF(B1444&lt;&gt;"",IF(AND(B1444='IN-TC'!$S$4,OR(TH!N1444="1111",TH!O1444="1111")),TH!D1444,""),"")</f>
        <v/>
      </c>
      <c r="B1444" s="34">
        <f t="shared" si="49"/>
        <v>8</v>
      </c>
      <c r="C1444" s="35">
        <f t="shared" si="50"/>
        <v>42612</v>
      </c>
      <c r="D1444" s="212" t="s">
        <v>1002</v>
      </c>
      <c r="E1444" s="35">
        <v>42612</v>
      </c>
      <c r="F1444" s="144" t="s">
        <v>366</v>
      </c>
      <c r="G1444" s="191" t="s">
        <v>206</v>
      </c>
      <c r="H1444" s="198" t="s">
        <v>839</v>
      </c>
      <c r="I1444" s="186"/>
      <c r="J1444" s="186"/>
      <c r="K1444" s="185"/>
      <c r="L1444" s="186"/>
      <c r="M1444" s="36">
        <v>281250000</v>
      </c>
      <c r="N1444" s="37" t="s">
        <v>8</v>
      </c>
      <c r="O1444" s="37" t="s">
        <v>34</v>
      </c>
      <c r="P1444" s="47" t="str">
        <f>IF(AND('331-CT'!$F$5=TH!H1444,OR(N1444="331",O1444="331")),"x","")</f>
        <v/>
      </c>
      <c r="Q1444" s="47" t="str">
        <f>IF(AND(B1444='111'!$L$11,OR($N1444=$Q$7,$O1444=$Q$7)),"x","")</f>
        <v/>
      </c>
      <c r="R1444" s="47" t="str">
        <f>IF(AND($N1444=$Q$7,$B1444&lt;'111'!$L$11),"x","")</f>
        <v/>
      </c>
      <c r="S1444" s="47" t="str">
        <f>IF(AND($O1444=$Q$7,$B1444&lt;'111'!$L$11),"x","")</f>
        <v>x</v>
      </c>
    </row>
    <row r="1445" spans="1:19" ht="15.75" customHeight="1">
      <c r="A1445" s="152" t="str">
        <f>IF(B1445&lt;&gt;"",IF(AND(B1445='IN-TC'!$S$4,OR(TH!N1445="1111",TH!O1445="1111")),TH!D1445,""),"")</f>
        <v/>
      </c>
      <c r="B1445" s="34">
        <f t="shared" si="49"/>
        <v>8</v>
      </c>
      <c r="C1445" s="35">
        <f t="shared" si="50"/>
        <v>42612</v>
      </c>
      <c r="D1445" s="212" t="s">
        <v>1003</v>
      </c>
      <c r="E1445" s="35">
        <v>42612</v>
      </c>
      <c r="F1445" s="144" t="s">
        <v>572</v>
      </c>
      <c r="G1445" s="191" t="s">
        <v>206</v>
      </c>
      <c r="H1445" s="198" t="s">
        <v>816</v>
      </c>
      <c r="I1445" s="186"/>
      <c r="J1445" s="186"/>
      <c r="K1445" s="185"/>
      <c r="L1445" s="186"/>
      <c r="M1445" s="36">
        <v>22788000</v>
      </c>
      <c r="N1445" s="37" t="s">
        <v>8</v>
      </c>
      <c r="O1445" s="37" t="s">
        <v>34</v>
      </c>
      <c r="P1445" s="47" t="str">
        <f>IF(AND('331-CT'!$F$5=TH!H1445,OR(N1445="331",O1445="331")),"x","")</f>
        <v/>
      </c>
      <c r="Q1445" s="47" t="str">
        <f>IF(AND(B1445='111'!$L$11,OR($N1445=$Q$7,$O1445=$Q$7)),"x","")</f>
        <v/>
      </c>
      <c r="R1445" s="47" t="str">
        <f>IF(AND($N1445=$Q$7,$B1445&lt;'111'!$L$11),"x","")</f>
        <v/>
      </c>
      <c r="S1445" s="47" t="str">
        <f>IF(AND($O1445=$Q$7,$B1445&lt;'111'!$L$11),"x","")</f>
        <v>x</v>
      </c>
    </row>
    <row r="1446" spans="1:19" ht="15.75" customHeight="1">
      <c r="A1446" s="152" t="str">
        <f>IF(B1446&lt;&gt;"",IF(AND(B1446='IN-TC'!$S$4,OR(TH!N1446="1111",TH!O1446="1111")),TH!D1446,""),"")</f>
        <v/>
      </c>
      <c r="B1446" s="34">
        <f t="shared" si="49"/>
        <v>8</v>
      </c>
      <c r="C1446" s="35">
        <f t="shared" si="50"/>
        <v>42612</v>
      </c>
      <c r="D1446" s="212" t="s">
        <v>1004</v>
      </c>
      <c r="E1446" s="35">
        <v>42612</v>
      </c>
      <c r="F1446" s="144" t="s">
        <v>1167</v>
      </c>
      <c r="G1446" s="191" t="s">
        <v>206</v>
      </c>
      <c r="H1446" s="198" t="s">
        <v>829</v>
      </c>
      <c r="I1446" s="186"/>
      <c r="J1446" s="186"/>
      <c r="K1446" s="185"/>
      <c r="L1446" s="186"/>
      <c r="M1446" s="36">
        <v>100000000</v>
      </c>
      <c r="N1446" s="37" t="s">
        <v>8</v>
      </c>
      <c r="O1446" s="37" t="s">
        <v>34</v>
      </c>
      <c r="P1446" s="47" t="str">
        <f>IF(AND('331-CT'!$F$5=TH!H1446,OR(N1446="331",O1446="331")),"x","")</f>
        <v/>
      </c>
      <c r="Q1446" s="47" t="str">
        <f>IF(AND(B1446='111'!$L$11,OR($N1446=$Q$7,$O1446=$Q$7)),"x","")</f>
        <v/>
      </c>
      <c r="R1446" s="47" t="str">
        <f>IF(AND($N1446=$Q$7,$B1446&lt;'111'!$L$11),"x","")</f>
        <v/>
      </c>
      <c r="S1446" s="47" t="str">
        <f>IF(AND($O1446=$Q$7,$B1446&lt;'111'!$L$11),"x","")</f>
        <v>x</v>
      </c>
    </row>
    <row r="1447" spans="1:19" ht="15.75" customHeight="1">
      <c r="A1447" s="152" t="str">
        <f>IF(B1447&lt;&gt;"",IF(AND(B1447='IN-TC'!$S$4,OR(TH!N1447="1111",TH!O1447="1111")),TH!D1447,""),"")</f>
        <v/>
      </c>
      <c r="B1447" s="34">
        <f t="shared" si="49"/>
        <v>8</v>
      </c>
      <c r="C1447" s="35">
        <f t="shared" si="50"/>
        <v>42612</v>
      </c>
      <c r="D1447" s="212" t="s">
        <v>1004</v>
      </c>
      <c r="E1447" s="35">
        <v>42612</v>
      </c>
      <c r="F1447" s="144" t="s">
        <v>1424</v>
      </c>
      <c r="G1447" s="191"/>
      <c r="H1447" s="198"/>
      <c r="I1447" s="186"/>
      <c r="J1447" s="186"/>
      <c r="K1447" s="185"/>
      <c r="L1447" s="186"/>
      <c r="M1447" s="36">
        <v>30000</v>
      </c>
      <c r="N1447" s="37" t="s">
        <v>1425</v>
      </c>
      <c r="O1447" s="37" t="s">
        <v>34</v>
      </c>
      <c r="P1447" s="47" t="str">
        <f>IF(AND('331-CT'!$F$5=TH!H1447,OR(N1447="331",O1447="331")),"x","")</f>
        <v/>
      </c>
      <c r="Q1447" s="47" t="str">
        <f>IF(AND(B1447='111'!$L$11,OR($N1447=$Q$7,$O1447=$Q$7)),"x","")</f>
        <v/>
      </c>
      <c r="R1447" s="47" t="str">
        <f>IF(AND($N1447=$Q$7,$B1447&lt;'111'!$L$11),"x","")</f>
        <v/>
      </c>
      <c r="S1447" s="47" t="str">
        <f>IF(AND($O1447=$Q$7,$B1447&lt;'111'!$L$11),"x","")</f>
        <v>x</v>
      </c>
    </row>
    <row r="1448" spans="1:19" ht="15.75" customHeight="1">
      <c r="A1448" s="152" t="str">
        <f>IF(B1448&lt;&gt;"",IF(AND(B1448='IN-TC'!$S$4,OR(TH!N1448="1111",TH!O1448="1111")),TH!D1448,""),"")</f>
        <v/>
      </c>
      <c r="B1448" s="34">
        <f t="shared" si="49"/>
        <v>8</v>
      </c>
      <c r="C1448" s="35">
        <f t="shared" si="50"/>
        <v>42612</v>
      </c>
      <c r="D1448" s="212" t="s">
        <v>1005</v>
      </c>
      <c r="E1448" s="35">
        <v>42612</v>
      </c>
      <c r="F1448" s="144" t="s">
        <v>1168</v>
      </c>
      <c r="G1448" s="191" t="s">
        <v>212</v>
      </c>
      <c r="H1448" s="198"/>
      <c r="I1448" s="186"/>
      <c r="J1448" s="186"/>
      <c r="K1448" s="185"/>
      <c r="L1448" s="186"/>
      <c r="M1448" s="36">
        <v>150045000</v>
      </c>
      <c r="N1448" s="37"/>
      <c r="O1448" s="37" t="s">
        <v>34</v>
      </c>
      <c r="P1448" s="47" t="str">
        <f>IF(AND('331-CT'!$F$5=TH!H1448,OR(N1448="331",O1448="331")),"x","")</f>
        <v/>
      </c>
      <c r="Q1448" s="47" t="str">
        <f>IF(AND(B1448='111'!$L$11,OR($N1448=$Q$7,$O1448=$Q$7)),"x","")</f>
        <v/>
      </c>
      <c r="R1448" s="47" t="str">
        <f>IF(AND($N1448=$Q$7,$B1448&lt;'111'!$L$11),"x","")</f>
        <v/>
      </c>
      <c r="S1448" s="47" t="str">
        <f>IF(AND($O1448=$Q$7,$B1448&lt;'111'!$L$11),"x","")</f>
        <v>x</v>
      </c>
    </row>
    <row r="1449" spans="1:19" ht="15.75" customHeight="1">
      <c r="A1449" s="152" t="str">
        <f>IF(B1449&lt;&gt;"",IF(AND(B1449='IN-TC'!$S$4,OR(TH!N1449="1111",TH!O1449="1111")),TH!D1449,""),"")</f>
        <v/>
      </c>
      <c r="B1449" s="34">
        <f t="shared" si="49"/>
        <v>8</v>
      </c>
      <c r="C1449" s="35">
        <f t="shared" si="50"/>
        <v>42612</v>
      </c>
      <c r="D1449" s="212" t="s">
        <v>1006</v>
      </c>
      <c r="E1449" s="35">
        <v>42612</v>
      </c>
      <c r="F1449" s="144" t="s">
        <v>1169</v>
      </c>
      <c r="G1449" s="191" t="s">
        <v>105</v>
      </c>
      <c r="H1449" s="198" t="s">
        <v>1416</v>
      </c>
      <c r="I1449" s="186"/>
      <c r="J1449" s="186"/>
      <c r="K1449" s="185"/>
      <c r="L1449" s="186"/>
      <c r="M1449" s="36">
        <v>50000000</v>
      </c>
      <c r="N1449" s="37" t="s">
        <v>812</v>
      </c>
      <c r="O1449" s="37" t="s">
        <v>34</v>
      </c>
      <c r="P1449" s="47" t="str">
        <f>IF(AND('331-CT'!$F$5=TH!H1449,OR(N1449="331",O1449="331")),"x","")</f>
        <v/>
      </c>
      <c r="Q1449" s="47" t="str">
        <f>IF(AND(B1449='111'!$L$11,OR($N1449=$Q$7,$O1449=$Q$7)),"x","")</f>
        <v/>
      </c>
      <c r="R1449" s="47" t="str">
        <f>IF(AND($N1449=$Q$7,$B1449&lt;'111'!$L$11),"x","")</f>
        <v/>
      </c>
      <c r="S1449" s="47" t="str">
        <f>IF(AND($O1449=$Q$7,$B1449&lt;'111'!$L$11),"x","")</f>
        <v>x</v>
      </c>
    </row>
    <row r="1450" spans="1:19" ht="15.75" customHeight="1">
      <c r="A1450" s="152" t="str">
        <f>IF(B1450&lt;&gt;"",IF(AND(B1450='IN-TC'!$S$4,OR(TH!N1450="1111",TH!O1450="1111")),TH!D1450,""),"")</f>
        <v/>
      </c>
      <c r="B1450" s="34">
        <f t="shared" si="49"/>
        <v>8</v>
      </c>
      <c r="C1450" s="35">
        <f t="shared" si="50"/>
        <v>42612</v>
      </c>
      <c r="D1450" s="212" t="s">
        <v>1006</v>
      </c>
      <c r="E1450" s="35">
        <v>42612</v>
      </c>
      <c r="F1450" s="144" t="s">
        <v>1424</v>
      </c>
      <c r="G1450" s="191"/>
      <c r="H1450" s="198"/>
      <c r="I1450" s="186"/>
      <c r="J1450" s="186"/>
      <c r="K1450" s="185"/>
      <c r="L1450" s="186"/>
      <c r="M1450" s="36">
        <v>17000</v>
      </c>
      <c r="N1450" s="37" t="s">
        <v>1425</v>
      </c>
      <c r="O1450" s="37" t="s">
        <v>34</v>
      </c>
      <c r="P1450" s="47" t="str">
        <f>IF(AND('331-CT'!$F$5=TH!H1450,OR(N1450="331",O1450="331")),"x","")</f>
        <v/>
      </c>
      <c r="Q1450" s="47" t="str">
        <f>IF(AND(B1450='111'!$L$11,OR($N1450=$Q$7,$O1450=$Q$7)),"x","")</f>
        <v/>
      </c>
      <c r="R1450" s="47" t="str">
        <f>IF(AND($N1450=$Q$7,$B1450&lt;'111'!$L$11),"x","")</f>
        <v/>
      </c>
      <c r="S1450" s="47" t="str">
        <f>IF(AND($O1450=$Q$7,$B1450&lt;'111'!$L$11),"x","")</f>
        <v>x</v>
      </c>
    </row>
    <row r="1451" spans="1:19" ht="15.75" customHeight="1">
      <c r="A1451" s="152" t="str">
        <f>IF(B1451&lt;&gt;"",IF(AND(B1451='IN-TC'!$S$4,OR(TH!N1451="1111",TH!O1451="1111")),TH!D1451,""),"")</f>
        <v/>
      </c>
      <c r="B1451" s="34">
        <f t="shared" si="49"/>
        <v>8</v>
      </c>
      <c r="C1451" s="35">
        <f t="shared" si="50"/>
        <v>42612</v>
      </c>
      <c r="D1451" s="212" t="s">
        <v>1007</v>
      </c>
      <c r="E1451" s="35">
        <v>42612</v>
      </c>
      <c r="F1451" s="144" t="s">
        <v>1170</v>
      </c>
      <c r="G1451" s="191" t="s">
        <v>110</v>
      </c>
      <c r="H1451" s="198"/>
      <c r="I1451" s="186"/>
      <c r="J1451" s="186"/>
      <c r="K1451" s="185"/>
      <c r="L1451" s="186"/>
      <c r="M1451" s="36">
        <v>52589000</v>
      </c>
      <c r="N1451" s="37"/>
      <c r="O1451" s="37" t="s">
        <v>34</v>
      </c>
      <c r="P1451" s="47" t="str">
        <f>IF(AND('331-CT'!$F$5=TH!H1451,OR(N1451="331",O1451="331")),"x","")</f>
        <v/>
      </c>
      <c r="Q1451" s="47" t="str">
        <f>IF(AND(B1451='111'!$L$11,OR($N1451=$Q$7,$O1451=$Q$7)),"x","")</f>
        <v/>
      </c>
      <c r="R1451" s="47" t="str">
        <f>IF(AND($N1451=$Q$7,$B1451&lt;'111'!$L$11),"x","")</f>
        <v/>
      </c>
      <c r="S1451" s="47" t="str">
        <f>IF(AND($O1451=$Q$7,$B1451&lt;'111'!$L$11),"x","")</f>
        <v>x</v>
      </c>
    </row>
    <row r="1452" spans="1:19" ht="15.75" customHeight="1">
      <c r="A1452" s="152" t="str">
        <f>IF(B1452&lt;&gt;"",IF(AND(B1452='IN-TC'!$S$4,OR(TH!N1452="1111",TH!O1452="1111")),TH!D1452,""),"")</f>
        <v/>
      </c>
      <c r="B1452" s="34">
        <f t="shared" si="49"/>
        <v>8</v>
      </c>
      <c r="C1452" s="35">
        <f t="shared" si="50"/>
        <v>42612</v>
      </c>
      <c r="D1452" s="212" t="s">
        <v>1008</v>
      </c>
      <c r="E1452" s="35">
        <v>42612</v>
      </c>
      <c r="F1452" s="144" t="s">
        <v>1171</v>
      </c>
      <c r="G1452" s="191"/>
      <c r="H1452" s="198"/>
      <c r="I1452" s="186"/>
      <c r="J1452" s="186"/>
      <c r="K1452" s="185"/>
      <c r="L1452" s="186"/>
      <c r="M1452" s="36">
        <v>100000</v>
      </c>
      <c r="N1452" s="37"/>
      <c r="O1452" s="37" t="s">
        <v>34</v>
      </c>
      <c r="P1452" s="47" t="str">
        <f>IF(AND('331-CT'!$F$5=TH!H1452,OR(N1452="331",O1452="331")),"x","")</f>
        <v/>
      </c>
      <c r="Q1452" s="47" t="str">
        <f>IF(AND(B1452='111'!$L$11,OR($N1452=$Q$7,$O1452=$Q$7)),"x","")</f>
        <v/>
      </c>
      <c r="R1452" s="47" t="str">
        <f>IF(AND($N1452=$Q$7,$B1452&lt;'111'!$L$11),"x","")</f>
        <v/>
      </c>
      <c r="S1452" s="47" t="str">
        <f>IF(AND($O1452=$Q$7,$B1452&lt;'111'!$L$11),"x","")</f>
        <v>x</v>
      </c>
    </row>
    <row r="1453" spans="1:19" ht="15.75" customHeight="1">
      <c r="A1453" s="152" t="str">
        <f>IF(B1453&lt;&gt;"",IF(AND(B1453='IN-TC'!$S$4,OR(TH!N1453="1111",TH!O1453="1111")),TH!D1453,""),"")</f>
        <v/>
      </c>
      <c r="B1453" s="34">
        <f t="shared" si="49"/>
        <v>8</v>
      </c>
      <c r="C1453" s="35">
        <f t="shared" si="50"/>
        <v>42613</v>
      </c>
      <c r="D1453" s="212"/>
      <c r="E1453" s="35">
        <v>42613</v>
      </c>
      <c r="F1453" s="144" t="s">
        <v>1500</v>
      </c>
      <c r="G1453" s="191"/>
      <c r="H1453" s="198" t="s">
        <v>1420</v>
      </c>
      <c r="I1453" s="186">
        <v>792</v>
      </c>
      <c r="J1453" s="186">
        <v>15500</v>
      </c>
      <c r="K1453" s="185"/>
      <c r="L1453" s="186"/>
      <c r="M1453" s="36">
        <f>ROUND(I1453*J1453,-3)</f>
        <v>12276000</v>
      </c>
      <c r="N1453" s="37" t="s">
        <v>1443</v>
      </c>
      <c r="O1453" s="37" t="s">
        <v>8</v>
      </c>
      <c r="P1453" s="47" t="str">
        <f>IF(AND('331-CT'!$F$5=TH!H1453,OR(N1453="331",O1453="331")),"x","")</f>
        <v/>
      </c>
      <c r="Q1453" s="47" t="str">
        <f>IF(AND(B1453='111'!$L$11,OR($N1453=$Q$7,$O1453=$Q$7)),"x","")</f>
        <v/>
      </c>
      <c r="R1453" s="47" t="str">
        <f>IF(AND($N1453=$Q$7,$B1453&lt;'111'!$L$11),"x","")</f>
        <v/>
      </c>
      <c r="S1453" s="47" t="str">
        <f>IF(AND($O1453=$Q$7,$B1453&lt;'111'!$L$11),"x","")</f>
        <v/>
      </c>
    </row>
    <row r="1454" spans="1:19" ht="15.75" customHeight="1">
      <c r="A1454" s="152" t="str">
        <f>IF(B1454&lt;&gt;"",IF(AND(B1454='IN-TC'!$S$4,OR(TH!N1454="1111",TH!O1454="1111")),TH!D1454,""),"")</f>
        <v/>
      </c>
      <c r="B1454" s="34">
        <f t="shared" si="49"/>
        <v>8</v>
      </c>
      <c r="C1454" s="35">
        <f t="shared" si="50"/>
        <v>42613</v>
      </c>
      <c r="D1454" s="212"/>
      <c r="E1454" s="35">
        <v>42613</v>
      </c>
      <c r="F1454" s="144" t="s">
        <v>1501</v>
      </c>
      <c r="G1454" s="191"/>
      <c r="H1454" s="198" t="s">
        <v>1420</v>
      </c>
      <c r="I1454" s="186">
        <v>3996</v>
      </c>
      <c r="J1454" s="186">
        <v>25000</v>
      </c>
      <c r="K1454" s="185"/>
      <c r="L1454" s="186"/>
      <c r="M1454" s="36">
        <f>ROUND(I1454*J1454,-3)</f>
        <v>99900000</v>
      </c>
      <c r="N1454" s="37" t="s">
        <v>1443</v>
      </c>
      <c r="O1454" s="37" t="s">
        <v>8</v>
      </c>
      <c r="P1454" s="47" t="str">
        <f>IF(AND('331-CT'!$F$5=TH!H1454,OR(N1454="331",O1454="331")),"x","")</f>
        <v/>
      </c>
      <c r="Q1454" s="47" t="str">
        <f>IF(AND(B1454='111'!$L$11,OR($N1454=$Q$7,$O1454=$Q$7)),"x","")</f>
        <v/>
      </c>
      <c r="R1454" s="47" t="str">
        <f>IF(AND($N1454=$Q$7,$B1454&lt;'111'!$L$11),"x","")</f>
        <v/>
      </c>
      <c r="S1454" s="47" t="str">
        <f>IF(AND($O1454=$Q$7,$B1454&lt;'111'!$L$11),"x","")</f>
        <v/>
      </c>
    </row>
    <row r="1455" spans="1:19" ht="15.75" customHeight="1">
      <c r="A1455" s="152" t="str">
        <f>IF(B1455&lt;&gt;"",IF(AND(B1455='IN-TC'!$S$4,OR(TH!N1455="1111",TH!O1455="1111")),TH!D1455,""),"")</f>
        <v/>
      </c>
      <c r="B1455" s="34">
        <f t="shared" si="49"/>
        <v>8</v>
      </c>
      <c r="C1455" s="35">
        <f t="shared" si="50"/>
        <v>42613</v>
      </c>
      <c r="D1455" s="212"/>
      <c r="E1455" s="35">
        <v>42613</v>
      </c>
      <c r="F1455" s="144" t="s">
        <v>1501</v>
      </c>
      <c r="G1455" s="191"/>
      <c r="H1455" s="198" t="s">
        <v>1420</v>
      </c>
      <c r="I1455" s="186">
        <v>1464</v>
      </c>
      <c r="J1455" s="186">
        <v>24000</v>
      </c>
      <c r="K1455" s="185"/>
      <c r="L1455" s="186"/>
      <c r="M1455" s="36">
        <f>ROUND(I1455*J1455,-3)</f>
        <v>35136000</v>
      </c>
      <c r="N1455" s="37" t="s">
        <v>1443</v>
      </c>
      <c r="O1455" s="37" t="s">
        <v>8</v>
      </c>
      <c r="P1455" s="47" t="str">
        <f>IF(AND('331-CT'!$F$5=TH!H1455,OR(N1455="331",O1455="331")),"x","")</f>
        <v/>
      </c>
      <c r="Q1455" s="47" t="str">
        <f>IF(AND(B1455='111'!$L$11,OR($N1455=$Q$7,$O1455=$Q$7)),"x","")</f>
        <v/>
      </c>
      <c r="R1455" s="47" t="str">
        <f>IF(AND($N1455=$Q$7,$B1455&lt;'111'!$L$11),"x","")</f>
        <v/>
      </c>
      <c r="S1455" s="47" t="str">
        <f>IF(AND($O1455=$Q$7,$B1455&lt;'111'!$L$11),"x","")</f>
        <v/>
      </c>
    </row>
    <row r="1456" spans="1:19" ht="15.75" customHeight="1">
      <c r="A1456" s="152" t="str">
        <f>IF(B1456&lt;&gt;"",IF(AND(B1456='IN-TC'!$S$4,OR(TH!N1456="1111",TH!O1456="1111")),TH!D1456,""),"")</f>
        <v/>
      </c>
      <c r="B1456" s="34">
        <f t="shared" si="49"/>
        <v>9</v>
      </c>
      <c r="C1456" s="35">
        <f t="shared" si="50"/>
        <v>42614</v>
      </c>
      <c r="D1456" s="212" t="s">
        <v>860</v>
      </c>
      <c r="E1456" s="35">
        <v>42614</v>
      </c>
      <c r="F1456" s="144" t="s">
        <v>1173</v>
      </c>
      <c r="G1456" s="191"/>
      <c r="H1456" s="198"/>
      <c r="I1456" s="186"/>
      <c r="J1456" s="186"/>
      <c r="K1456" s="185"/>
      <c r="L1456" s="186"/>
      <c r="M1456" s="36">
        <v>500000</v>
      </c>
      <c r="N1456" s="37"/>
      <c r="O1456" s="37" t="s">
        <v>34</v>
      </c>
      <c r="P1456" s="47" t="str">
        <f>IF(AND('331-CT'!$F$5=TH!H1456,OR(N1456="331",O1456="331")),"x","")</f>
        <v/>
      </c>
      <c r="Q1456" s="47" t="str">
        <f>IF(AND(B1456='111'!$L$11,OR($N1456=$Q$7,$O1456=$Q$7)),"x","")</f>
        <v/>
      </c>
      <c r="R1456" s="47" t="str">
        <f>IF(AND($N1456=$Q$7,$B1456&lt;'111'!$L$11),"x","")</f>
        <v/>
      </c>
      <c r="S1456" s="47" t="str">
        <f>IF(AND($O1456=$Q$7,$B1456&lt;'111'!$L$11),"x","")</f>
        <v>x</v>
      </c>
    </row>
    <row r="1457" spans="1:19" ht="15.75" customHeight="1">
      <c r="A1457" s="152" t="str">
        <f>IF(B1457&lt;&gt;"",IF(AND(B1457='IN-TC'!$S$4,OR(TH!N1457="1111",TH!O1457="1111")),TH!D1457,""),"")</f>
        <v/>
      </c>
      <c r="B1457" s="34">
        <f t="shared" si="49"/>
        <v>9</v>
      </c>
      <c r="C1457" s="35">
        <f t="shared" si="50"/>
        <v>42614</v>
      </c>
      <c r="D1457" s="212" t="s">
        <v>861</v>
      </c>
      <c r="E1457" s="35">
        <v>42614</v>
      </c>
      <c r="F1457" s="144" t="s">
        <v>1174</v>
      </c>
      <c r="G1457" s="191"/>
      <c r="H1457" s="198"/>
      <c r="I1457" s="186"/>
      <c r="J1457" s="186"/>
      <c r="K1457" s="185"/>
      <c r="L1457" s="186"/>
      <c r="M1457" s="36">
        <v>232000</v>
      </c>
      <c r="N1457" s="37"/>
      <c r="O1457" s="37" t="s">
        <v>34</v>
      </c>
      <c r="P1457" s="47" t="str">
        <f>IF(AND('331-CT'!$F$5=TH!H1457,OR(N1457="331",O1457="331")),"x","")</f>
        <v/>
      </c>
      <c r="Q1457" s="47" t="str">
        <f>IF(AND(B1457='111'!$L$11,OR($N1457=$Q$7,$O1457=$Q$7)),"x","")</f>
        <v/>
      </c>
      <c r="R1457" s="47" t="str">
        <f>IF(AND($N1457=$Q$7,$B1457&lt;'111'!$L$11),"x","")</f>
        <v/>
      </c>
      <c r="S1457" s="47" t="str">
        <f>IF(AND($O1457=$Q$7,$B1457&lt;'111'!$L$11),"x","")</f>
        <v>x</v>
      </c>
    </row>
    <row r="1458" spans="1:19" ht="15.75" customHeight="1">
      <c r="A1458" s="152" t="str">
        <f>IF(B1458&lt;&gt;"",IF(AND(B1458='IN-TC'!$S$4,OR(TH!N1458="1111",TH!O1458="1111")),TH!D1458,""),"")</f>
        <v/>
      </c>
      <c r="B1458" s="34">
        <f t="shared" si="49"/>
        <v>9</v>
      </c>
      <c r="C1458" s="35">
        <f t="shared" si="50"/>
        <v>42614</v>
      </c>
      <c r="D1458" s="212" t="s">
        <v>862</v>
      </c>
      <c r="E1458" s="35">
        <v>42614</v>
      </c>
      <c r="F1458" s="144" t="s">
        <v>1175</v>
      </c>
      <c r="G1458" s="191"/>
      <c r="H1458" s="198"/>
      <c r="I1458" s="186"/>
      <c r="J1458" s="186"/>
      <c r="K1458" s="185"/>
      <c r="L1458" s="186"/>
      <c r="M1458" s="36">
        <v>4000000</v>
      </c>
      <c r="N1458" s="37"/>
      <c r="O1458" s="37" t="s">
        <v>34</v>
      </c>
      <c r="P1458" s="47" t="str">
        <f>IF(AND('331-CT'!$F$5=TH!H1458,OR(N1458="331",O1458="331")),"x","")</f>
        <v/>
      </c>
      <c r="Q1458" s="47" t="str">
        <f>IF(AND(B1458='111'!$L$11,OR($N1458=$Q$7,$O1458=$Q$7)),"x","")</f>
        <v/>
      </c>
      <c r="R1458" s="47" t="str">
        <f>IF(AND($N1458=$Q$7,$B1458&lt;'111'!$L$11),"x","")</f>
        <v/>
      </c>
      <c r="S1458" s="47" t="str">
        <f>IF(AND($O1458=$Q$7,$B1458&lt;'111'!$L$11),"x","")</f>
        <v>x</v>
      </c>
    </row>
    <row r="1459" spans="1:19" ht="15.75" customHeight="1">
      <c r="A1459" s="152" t="str">
        <f>IF(B1459&lt;&gt;"",IF(AND(B1459='IN-TC'!$S$4,OR(TH!N1459="1111",TH!O1459="1111")),TH!D1459,""),"")</f>
        <v/>
      </c>
      <c r="B1459" s="34">
        <f t="shared" si="49"/>
        <v>9</v>
      </c>
      <c r="C1459" s="35">
        <f t="shared" si="50"/>
        <v>42614</v>
      </c>
      <c r="D1459" s="212" t="s">
        <v>863</v>
      </c>
      <c r="E1459" s="35">
        <v>42614</v>
      </c>
      <c r="F1459" s="144" t="s">
        <v>529</v>
      </c>
      <c r="G1459" s="191" t="s">
        <v>206</v>
      </c>
      <c r="H1459" s="198" t="s">
        <v>832</v>
      </c>
      <c r="I1459" s="186"/>
      <c r="J1459" s="186"/>
      <c r="K1459" s="185"/>
      <c r="L1459" s="186"/>
      <c r="M1459" s="36">
        <v>70000000</v>
      </c>
      <c r="N1459" s="37" t="s">
        <v>8</v>
      </c>
      <c r="O1459" s="37" t="s">
        <v>34</v>
      </c>
      <c r="P1459" s="47" t="str">
        <f>IF(AND('331-CT'!$F$5=TH!H1459,OR(N1459="331",O1459="331")),"x","")</f>
        <v/>
      </c>
      <c r="Q1459" s="47" t="str">
        <f>IF(AND(B1459='111'!$L$11,OR($N1459=$Q$7,$O1459=$Q$7)),"x","")</f>
        <v/>
      </c>
      <c r="R1459" s="47" t="str">
        <f>IF(AND($N1459=$Q$7,$B1459&lt;'111'!$L$11),"x","")</f>
        <v/>
      </c>
      <c r="S1459" s="47" t="str">
        <f>IF(AND($O1459=$Q$7,$B1459&lt;'111'!$L$11),"x","")</f>
        <v>x</v>
      </c>
    </row>
    <row r="1460" spans="1:19" ht="15.75" customHeight="1">
      <c r="A1460" s="152" t="str">
        <f>IF(B1460&lt;&gt;"",IF(AND(B1460='IN-TC'!$S$4,OR(TH!N1460="1111",TH!O1460="1111")),TH!D1460,""),"")</f>
        <v/>
      </c>
      <c r="B1460" s="34">
        <f t="shared" si="49"/>
        <v>9</v>
      </c>
      <c r="C1460" s="35">
        <f t="shared" si="50"/>
        <v>42614</v>
      </c>
      <c r="D1460" s="212" t="s">
        <v>864</v>
      </c>
      <c r="E1460" s="35">
        <v>42614</v>
      </c>
      <c r="F1460" s="144" t="s">
        <v>1176</v>
      </c>
      <c r="G1460" s="38" t="s">
        <v>203</v>
      </c>
      <c r="H1460" s="198" t="s">
        <v>1413</v>
      </c>
      <c r="I1460" s="186"/>
      <c r="J1460" s="186"/>
      <c r="K1460" s="185"/>
      <c r="L1460" s="186"/>
      <c r="M1460" s="36">
        <v>16017000</v>
      </c>
      <c r="N1460" s="37" t="s">
        <v>814</v>
      </c>
      <c r="O1460" s="37" t="s">
        <v>34</v>
      </c>
      <c r="P1460" s="47" t="str">
        <f>IF(AND('331-CT'!$F$5=TH!H1460,OR(N1460="331",O1460="331")),"x","")</f>
        <v/>
      </c>
      <c r="Q1460" s="47" t="str">
        <f>IF(AND(B1460='111'!$L$11,OR($N1460=$Q$7,$O1460=$Q$7)),"x","")</f>
        <v/>
      </c>
      <c r="R1460" s="47" t="str">
        <f>IF(AND($N1460=$Q$7,$B1460&lt;'111'!$L$11),"x","")</f>
        <v/>
      </c>
      <c r="S1460" s="47" t="str">
        <f>IF(AND($O1460=$Q$7,$B1460&lt;'111'!$L$11),"x","")</f>
        <v>x</v>
      </c>
    </row>
    <row r="1461" spans="1:19" ht="15.75" customHeight="1">
      <c r="A1461" s="152" t="str">
        <f>IF(B1461&lt;&gt;"",IF(AND(B1461='IN-TC'!$S$4,OR(TH!N1461="1111",TH!O1461="1111")),TH!D1461,""),"")</f>
        <v/>
      </c>
      <c r="B1461" s="34">
        <f t="shared" si="49"/>
        <v>9</v>
      </c>
      <c r="C1461" s="35">
        <f t="shared" si="50"/>
        <v>42614</v>
      </c>
      <c r="D1461" s="212" t="s">
        <v>865</v>
      </c>
      <c r="E1461" s="35">
        <v>42614</v>
      </c>
      <c r="F1461" s="144" t="s">
        <v>1382</v>
      </c>
      <c r="G1461" s="38" t="s">
        <v>203</v>
      </c>
      <c r="H1461" s="198" t="s">
        <v>1067</v>
      </c>
      <c r="I1461" s="186"/>
      <c r="J1461" s="186"/>
      <c r="K1461" s="185"/>
      <c r="L1461" s="186"/>
      <c r="M1461" s="36">
        <v>10517000</v>
      </c>
      <c r="N1461" s="37" t="s">
        <v>814</v>
      </c>
      <c r="O1461" s="37" t="s">
        <v>34</v>
      </c>
      <c r="P1461" s="47" t="str">
        <f>IF(AND('331-CT'!$F$5=TH!H1461,OR(N1461="331",O1461="331")),"x","")</f>
        <v/>
      </c>
      <c r="Q1461" s="47" t="str">
        <f>IF(AND(B1461='111'!$L$11,OR($N1461=$Q$7,$O1461=$Q$7)),"x","")</f>
        <v/>
      </c>
      <c r="R1461" s="47" t="str">
        <f>IF(AND($N1461=$Q$7,$B1461&lt;'111'!$L$11),"x","")</f>
        <v/>
      </c>
      <c r="S1461" s="47" t="str">
        <f>IF(AND($O1461=$Q$7,$B1461&lt;'111'!$L$11),"x","")</f>
        <v>x</v>
      </c>
    </row>
    <row r="1462" spans="1:19" ht="15.75" customHeight="1">
      <c r="A1462" s="152" t="str">
        <f>IF(B1462&lt;&gt;"",IF(AND(B1462='IN-TC'!$S$4,OR(TH!N1462="1111",TH!O1462="1111")),TH!D1462,""),"")</f>
        <v/>
      </c>
      <c r="B1462" s="34">
        <f t="shared" si="49"/>
        <v>9</v>
      </c>
      <c r="C1462" s="35">
        <f t="shared" si="50"/>
        <v>42614</v>
      </c>
      <c r="D1462" s="212" t="s">
        <v>866</v>
      </c>
      <c r="E1462" s="35">
        <v>42614</v>
      </c>
      <c r="F1462" s="144" t="s">
        <v>1177</v>
      </c>
      <c r="G1462" s="191" t="s">
        <v>213</v>
      </c>
      <c r="H1462" s="198"/>
      <c r="I1462" s="186"/>
      <c r="J1462" s="186"/>
      <c r="K1462" s="185"/>
      <c r="L1462" s="186"/>
      <c r="M1462" s="36">
        <v>924000</v>
      </c>
      <c r="N1462" s="37"/>
      <c r="O1462" s="37" t="s">
        <v>34</v>
      </c>
      <c r="P1462" s="47" t="str">
        <f>IF(AND('331-CT'!$F$5=TH!H1462,OR(N1462="331",O1462="331")),"x","")</f>
        <v/>
      </c>
      <c r="Q1462" s="47" t="str">
        <f>IF(AND(B1462='111'!$L$11,OR($N1462=$Q$7,$O1462=$Q$7)),"x","")</f>
        <v/>
      </c>
      <c r="R1462" s="47" t="str">
        <f>IF(AND($N1462=$Q$7,$B1462&lt;'111'!$L$11),"x","")</f>
        <v/>
      </c>
      <c r="S1462" s="47" t="str">
        <f>IF(AND($O1462=$Q$7,$B1462&lt;'111'!$L$11),"x","")</f>
        <v>x</v>
      </c>
    </row>
    <row r="1463" spans="1:19" ht="15.75" customHeight="1">
      <c r="A1463" s="152" t="str">
        <f>IF(B1463&lt;&gt;"",IF(AND(B1463='IN-TC'!$S$4,OR(TH!N1463="1111",TH!O1463="1111")),TH!D1463,""),"")</f>
        <v/>
      </c>
      <c r="B1463" s="34">
        <f t="shared" si="49"/>
        <v>9</v>
      </c>
      <c r="C1463" s="35">
        <f t="shared" si="50"/>
        <v>42614</v>
      </c>
      <c r="D1463" s="212"/>
      <c r="E1463" s="35">
        <v>42614</v>
      </c>
      <c r="F1463" s="144" t="s">
        <v>1440</v>
      </c>
      <c r="G1463" s="191"/>
      <c r="H1463" s="198" t="s">
        <v>839</v>
      </c>
      <c r="I1463" s="186">
        <v>4490</v>
      </c>
      <c r="J1463" s="186">
        <v>42000</v>
      </c>
      <c r="K1463" s="185"/>
      <c r="L1463" s="186"/>
      <c r="M1463" s="36">
        <f>ROUND(I1463*J1463,0)</f>
        <v>188580000</v>
      </c>
      <c r="N1463" s="37" t="s">
        <v>1443</v>
      </c>
      <c r="O1463" s="37" t="s">
        <v>8</v>
      </c>
      <c r="P1463" s="47" t="str">
        <f>IF(AND('331-CT'!$F$5=TH!H1463,OR(N1463="331",O1463="331")),"x","")</f>
        <v/>
      </c>
      <c r="Q1463" s="47" t="str">
        <f>IF(AND(B1463='111'!$L$11,OR($N1463=$Q$7,$O1463=$Q$7)),"x","")</f>
        <v/>
      </c>
      <c r="R1463" s="47" t="str">
        <f>IF(AND($N1463=$Q$7,$B1463&lt;'111'!$L$11),"x","")</f>
        <v/>
      </c>
      <c r="S1463" s="47" t="str">
        <f>IF(AND($O1463=$Q$7,$B1463&lt;'111'!$L$11),"x","")</f>
        <v/>
      </c>
    </row>
    <row r="1464" spans="1:19" ht="15.75" customHeight="1">
      <c r="A1464" s="152" t="str">
        <f>IF(B1464&lt;&gt;"",IF(AND(B1464='IN-TC'!$S$4,OR(TH!N1464="1111",TH!O1464="1111")),TH!D1464,""),"")</f>
        <v/>
      </c>
      <c r="B1464" s="34">
        <f t="shared" si="49"/>
        <v>9</v>
      </c>
      <c r="C1464" s="35">
        <f t="shared" si="50"/>
        <v>42614</v>
      </c>
      <c r="D1464" s="212"/>
      <c r="E1464" s="35">
        <v>42614</v>
      </c>
      <c r="F1464" s="144" t="s">
        <v>1469</v>
      </c>
      <c r="G1464" s="191"/>
      <c r="H1464" s="198" t="s">
        <v>1420</v>
      </c>
      <c r="I1464" s="186">
        <v>4368</v>
      </c>
      <c r="J1464" s="186">
        <v>24000</v>
      </c>
      <c r="K1464" s="185"/>
      <c r="L1464" s="186"/>
      <c r="M1464" s="36">
        <f t="shared" ref="M1464:M1470" si="51">ROUND(I1464*J1464,-3)</f>
        <v>104832000</v>
      </c>
      <c r="N1464" s="37" t="s">
        <v>1443</v>
      </c>
      <c r="O1464" s="37" t="s">
        <v>8</v>
      </c>
      <c r="P1464" s="47" t="str">
        <f>IF(AND('331-CT'!$F$5=TH!H1464,OR(N1464="331",O1464="331")),"x","")</f>
        <v/>
      </c>
      <c r="Q1464" s="47" t="str">
        <f>IF(AND(B1464='111'!$L$11,OR($N1464=$Q$7,$O1464=$Q$7)),"x","")</f>
        <v/>
      </c>
      <c r="R1464" s="47" t="str">
        <f>IF(AND($N1464=$Q$7,$B1464&lt;'111'!$L$11),"x","")</f>
        <v/>
      </c>
      <c r="S1464" s="47" t="str">
        <f>IF(AND($O1464=$Q$7,$B1464&lt;'111'!$L$11),"x","")</f>
        <v/>
      </c>
    </row>
    <row r="1465" spans="1:19" ht="15.75" customHeight="1">
      <c r="A1465" s="152" t="str">
        <f>IF(B1465&lt;&gt;"",IF(AND(B1465='IN-TC'!$S$4,OR(TH!N1465="1111",TH!O1465="1111")),TH!D1465,""),"")</f>
        <v/>
      </c>
      <c r="B1465" s="34">
        <f t="shared" si="49"/>
        <v>9</v>
      </c>
      <c r="C1465" s="35">
        <f t="shared" si="50"/>
        <v>42615</v>
      </c>
      <c r="D1465" s="212"/>
      <c r="E1465" s="35">
        <v>42615</v>
      </c>
      <c r="F1465" s="144" t="s">
        <v>1472</v>
      </c>
      <c r="G1465" s="191"/>
      <c r="H1465" s="198" t="s">
        <v>1420</v>
      </c>
      <c r="I1465" s="186">
        <v>2840</v>
      </c>
      <c r="J1465" s="186">
        <v>22500</v>
      </c>
      <c r="K1465" s="185"/>
      <c r="L1465" s="186"/>
      <c r="M1465" s="36">
        <f t="shared" si="51"/>
        <v>63900000</v>
      </c>
      <c r="N1465" s="37" t="s">
        <v>1443</v>
      </c>
      <c r="O1465" s="37" t="s">
        <v>8</v>
      </c>
      <c r="P1465" s="47" t="str">
        <f>IF(AND('331-CT'!$F$5=TH!H1465,OR(N1465="331",O1465="331")),"x","")</f>
        <v/>
      </c>
      <c r="Q1465" s="47" t="str">
        <f>IF(AND(B1465='111'!$L$11,OR($N1465=$Q$7,$O1465=$Q$7)),"x","")</f>
        <v/>
      </c>
      <c r="R1465" s="47" t="str">
        <f>IF(AND($N1465=$Q$7,$B1465&lt;'111'!$L$11),"x","")</f>
        <v/>
      </c>
      <c r="S1465" s="47" t="str">
        <f>IF(AND($O1465=$Q$7,$B1465&lt;'111'!$L$11),"x","")</f>
        <v/>
      </c>
    </row>
    <row r="1466" spans="1:19" ht="15.75" customHeight="1">
      <c r="A1466" s="152" t="str">
        <f>IF(B1466&lt;&gt;"",IF(AND(B1466='IN-TC'!$S$4,OR(TH!N1466="1111",TH!O1466="1111")),TH!D1466,""),"")</f>
        <v/>
      </c>
      <c r="B1466" s="34">
        <f t="shared" si="49"/>
        <v>9</v>
      </c>
      <c r="C1466" s="35">
        <f t="shared" si="50"/>
        <v>42617</v>
      </c>
      <c r="D1466" s="212"/>
      <c r="E1466" s="35">
        <v>42617</v>
      </c>
      <c r="F1466" s="144" t="s">
        <v>1493</v>
      </c>
      <c r="G1466" s="191" t="s">
        <v>204</v>
      </c>
      <c r="H1466" s="198" t="s">
        <v>828</v>
      </c>
      <c r="I1466" s="186">
        <v>2178</v>
      </c>
      <c r="J1466" s="186">
        <v>23000</v>
      </c>
      <c r="K1466" s="185"/>
      <c r="L1466" s="186"/>
      <c r="M1466" s="36">
        <f t="shared" si="51"/>
        <v>50094000</v>
      </c>
      <c r="N1466" s="37" t="s">
        <v>1443</v>
      </c>
      <c r="O1466" s="37" t="s">
        <v>8</v>
      </c>
      <c r="P1466" s="47" t="str">
        <f>IF(AND('331-CT'!$F$5=TH!H1466,OR(N1466="331",O1466="331")),"x","")</f>
        <v/>
      </c>
      <c r="Q1466" s="47" t="str">
        <f>IF(AND(B1466='111'!$L$11,OR($N1466=$Q$7,$O1466=$Q$7)),"x","")</f>
        <v/>
      </c>
      <c r="R1466" s="47" t="str">
        <f>IF(AND($N1466=$Q$7,$B1466&lt;'111'!$L$11),"x","")</f>
        <v/>
      </c>
      <c r="S1466" s="47" t="str">
        <f>IF(AND($O1466=$Q$7,$B1466&lt;'111'!$L$11),"x","")</f>
        <v/>
      </c>
    </row>
    <row r="1467" spans="1:19" ht="15.75" customHeight="1">
      <c r="A1467" s="152" t="str">
        <f>IF(B1467&lt;&gt;"",IF(AND(B1467='IN-TC'!$S$4,OR(TH!N1467="1111",TH!O1467="1111")),TH!D1467,""),"")</f>
        <v/>
      </c>
      <c r="B1467" s="34">
        <f t="shared" si="49"/>
        <v>9</v>
      </c>
      <c r="C1467" s="35">
        <f t="shared" si="50"/>
        <v>42617</v>
      </c>
      <c r="D1467" s="212"/>
      <c r="E1467" s="35">
        <v>42617</v>
      </c>
      <c r="F1467" s="144" t="s">
        <v>1494</v>
      </c>
      <c r="G1467" s="191" t="s">
        <v>204</v>
      </c>
      <c r="H1467" s="198" t="s">
        <v>828</v>
      </c>
      <c r="I1467" s="186">
        <v>396</v>
      </c>
      <c r="J1467" s="186">
        <v>14000</v>
      </c>
      <c r="K1467" s="185"/>
      <c r="L1467" s="186"/>
      <c r="M1467" s="36">
        <f t="shared" si="51"/>
        <v>5544000</v>
      </c>
      <c r="N1467" s="37" t="s">
        <v>1443</v>
      </c>
      <c r="O1467" s="37" t="s">
        <v>8</v>
      </c>
      <c r="P1467" s="47" t="str">
        <f>IF(AND('331-CT'!$F$5=TH!H1467,OR(N1467="331",O1467="331")),"x","")</f>
        <v/>
      </c>
      <c r="Q1467" s="47" t="str">
        <f>IF(AND(B1467='111'!$L$11,OR($N1467=$Q$7,$O1467=$Q$7)),"x","")</f>
        <v/>
      </c>
      <c r="R1467" s="47" t="str">
        <f>IF(AND($N1467=$Q$7,$B1467&lt;'111'!$L$11),"x","")</f>
        <v/>
      </c>
      <c r="S1467" s="47" t="str">
        <f>IF(AND($O1467=$Q$7,$B1467&lt;'111'!$L$11),"x","")</f>
        <v/>
      </c>
    </row>
    <row r="1468" spans="1:19" ht="15.75" customHeight="1">
      <c r="A1468" s="152" t="str">
        <f>IF(B1468&lt;&gt;"",IF(AND(B1468='IN-TC'!$S$4,OR(TH!N1468="1111",TH!O1468="1111")),TH!D1468,""),"")</f>
        <v/>
      </c>
      <c r="B1468" s="34">
        <f t="shared" si="49"/>
        <v>9</v>
      </c>
      <c r="C1468" s="35">
        <f t="shared" si="50"/>
        <v>42617</v>
      </c>
      <c r="D1468" s="212"/>
      <c r="E1468" s="35">
        <v>42617</v>
      </c>
      <c r="F1468" s="144" t="s">
        <v>1495</v>
      </c>
      <c r="G1468" s="191" t="s">
        <v>204</v>
      </c>
      <c r="H1468" s="198" t="s">
        <v>828</v>
      </c>
      <c r="I1468" s="186">
        <v>22</v>
      </c>
      <c r="J1468" s="186">
        <v>13000</v>
      </c>
      <c r="K1468" s="185"/>
      <c r="L1468" s="186"/>
      <c r="M1468" s="36">
        <f t="shared" si="51"/>
        <v>286000</v>
      </c>
      <c r="N1468" s="37" t="s">
        <v>1443</v>
      </c>
      <c r="O1468" s="37" t="s">
        <v>8</v>
      </c>
      <c r="P1468" s="47" t="str">
        <f>IF(AND('331-CT'!$F$5=TH!H1468,OR(N1468="331",O1468="331")),"x","")</f>
        <v/>
      </c>
      <c r="Q1468" s="47" t="str">
        <f>IF(AND(B1468='111'!$L$11,OR($N1468=$Q$7,$O1468=$Q$7)),"x","")</f>
        <v/>
      </c>
      <c r="R1468" s="47" t="str">
        <f>IF(AND($N1468=$Q$7,$B1468&lt;'111'!$L$11),"x","")</f>
        <v/>
      </c>
      <c r="S1468" s="47" t="str">
        <f>IF(AND($O1468=$Q$7,$B1468&lt;'111'!$L$11),"x","")</f>
        <v/>
      </c>
    </row>
    <row r="1469" spans="1:19" ht="15.75" customHeight="1">
      <c r="A1469" s="152" t="str">
        <f>IF(B1469&lt;&gt;"",IF(AND(B1469='IN-TC'!$S$4,OR(TH!N1469="1111",TH!O1469="1111")),TH!D1469,""),"")</f>
        <v/>
      </c>
      <c r="B1469" s="34">
        <f t="shared" si="49"/>
        <v>9</v>
      </c>
      <c r="C1469" s="35">
        <f t="shared" si="50"/>
        <v>42617</v>
      </c>
      <c r="D1469" s="212"/>
      <c r="E1469" s="35">
        <v>42617</v>
      </c>
      <c r="F1469" s="144" t="s">
        <v>1498</v>
      </c>
      <c r="G1469" s="191" t="s">
        <v>204</v>
      </c>
      <c r="H1469" s="198" t="s">
        <v>828</v>
      </c>
      <c r="I1469" s="186">
        <v>1463</v>
      </c>
      <c r="J1469" s="186">
        <v>18000</v>
      </c>
      <c r="K1469" s="185"/>
      <c r="L1469" s="186"/>
      <c r="M1469" s="36">
        <f t="shared" si="51"/>
        <v>26334000</v>
      </c>
      <c r="N1469" s="37" t="s">
        <v>1443</v>
      </c>
      <c r="O1469" s="37" t="s">
        <v>8</v>
      </c>
      <c r="P1469" s="47" t="str">
        <f>IF(AND('331-CT'!$F$5=TH!H1469,OR(N1469="331",O1469="331")),"x","")</f>
        <v/>
      </c>
      <c r="Q1469" s="47" t="str">
        <f>IF(AND(B1469='111'!$L$11,OR($N1469=$Q$7,$O1469=$Q$7)),"x","")</f>
        <v/>
      </c>
      <c r="R1469" s="47" t="str">
        <f>IF(AND($N1469=$Q$7,$B1469&lt;'111'!$L$11),"x","")</f>
        <v/>
      </c>
      <c r="S1469" s="47" t="str">
        <f>IF(AND($O1469=$Q$7,$B1469&lt;'111'!$L$11),"x","")</f>
        <v/>
      </c>
    </row>
    <row r="1470" spans="1:19" ht="15.75" customHeight="1">
      <c r="A1470" s="152" t="str">
        <f>IF(B1470&lt;&gt;"",IF(AND(B1470='IN-TC'!$S$4,OR(TH!N1470="1111",TH!O1470="1111")),TH!D1470,""),"")</f>
        <v/>
      </c>
      <c r="B1470" s="34">
        <f t="shared" si="49"/>
        <v>9</v>
      </c>
      <c r="C1470" s="35">
        <f t="shared" si="50"/>
        <v>42617</v>
      </c>
      <c r="D1470" s="212"/>
      <c r="E1470" s="35">
        <v>42617</v>
      </c>
      <c r="F1470" s="144" t="s">
        <v>1469</v>
      </c>
      <c r="G1470" s="191"/>
      <c r="H1470" s="198" t="s">
        <v>1419</v>
      </c>
      <c r="I1470" s="186">
        <v>3936</v>
      </c>
      <c r="J1470" s="186">
        <v>19000</v>
      </c>
      <c r="K1470" s="185"/>
      <c r="L1470" s="186"/>
      <c r="M1470" s="36">
        <f t="shared" si="51"/>
        <v>74784000</v>
      </c>
      <c r="N1470" s="37" t="s">
        <v>1443</v>
      </c>
      <c r="O1470" s="37" t="s">
        <v>8</v>
      </c>
      <c r="P1470" s="47" t="str">
        <f>IF(AND('331-CT'!$F$5=TH!H1470,OR(N1470="331",O1470="331")),"x","")</f>
        <v/>
      </c>
      <c r="Q1470" s="47" t="str">
        <f>IF(AND(B1470='111'!$L$11,OR($N1470=$Q$7,$O1470=$Q$7)),"x","")</f>
        <v/>
      </c>
      <c r="R1470" s="47" t="str">
        <f>IF(AND($N1470=$Q$7,$B1470&lt;'111'!$L$11),"x","")</f>
        <v/>
      </c>
      <c r="S1470" s="47" t="str">
        <f>IF(AND($O1470=$Q$7,$B1470&lt;'111'!$L$11),"x","")</f>
        <v/>
      </c>
    </row>
    <row r="1471" spans="1:19" ht="15.75" customHeight="1">
      <c r="A1471" s="152" t="str">
        <f>IF(B1471&lt;&gt;"",IF(AND(B1471='IN-TC'!$S$4,OR(TH!N1471="1111",TH!O1471="1111")),TH!D1471,""),"")</f>
        <v/>
      </c>
      <c r="B1471" s="34">
        <f t="shared" si="49"/>
        <v>9</v>
      </c>
      <c r="C1471" s="35">
        <f t="shared" si="50"/>
        <v>42618</v>
      </c>
      <c r="D1471" s="212" t="s">
        <v>867</v>
      </c>
      <c r="E1471" s="35">
        <v>42618</v>
      </c>
      <c r="F1471" s="144" t="s">
        <v>1178</v>
      </c>
      <c r="G1471" s="191"/>
      <c r="H1471" s="198"/>
      <c r="I1471" s="186"/>
      <c r="J1471" s="186"/>
      <c r="K1471" s="185"/>
      <c r="L1471" s="186"/>
      <c r="M1471" s="36">
        <v>515000</v>
      </c>
      <c r="N1471" s="37"/>
      <c r="O1471" s="37" t="s">
        <v>34</v>
      </c>
      <c r="P1471" s="47" t="str">
        <f>IF(AND('331-CT'!$F$5=TH!H1471,OR(N1471="331",O1471="331")),"x","")</f>
        <v/>
      </c>
      <c r="Q1471" s="47" t="str">
        <f>IF(AND(B1471='111'!$L$11,OR($N1471=$Q$7,$O1471=$Q$7)),"x","")</f>
        <v/>
      </c>
      <c r="R1471" s="47" t="str">
        <f>IF(AND($N1471=$Q$7,$B1471&lt;'111'!$L$11),"x","")</f>
        <v/>
      </c>
      <c r="S1471" s="47" t="str">
        <f>IF(AND($O1471=$Q$7,$B1471&lt;'111'!$L$11),"x","")</f>
        <v>x</v>
      </c>
    </row>
    <row r="1472" spans="1:19" ht="15.75" customHeight="1">
      <c r="A1472" s="152" t="str">
        <f>IF(B1472&lt;&gt;"",IF(AND(B1472='IN-TC'!$S$4,OR(TH!N1472="1111",TH!O1472="1111")),TH!D1472,""),"")</f>
        <v/>
      </c>
      <c r="B1472" s="34">
        <f t="shared" si="49"/>
        <v>9</v>
      </c>
      <c r="C1472" s="35">
        <f t="shared" si="50"/>
        <v>42618</v>
      </c>
      <c r="D1472" s="212" t="s">
        <v>868</v>
      </c>
      <c r="E1472" s="35">
        <v>42618</v>
      </c>
      <c r="F1472" s="144" t="s">
        <v>1179</v>
      </c>
      <c r="G1472" s="191" t="s">
        <v>204</v>
      </c>
      <c r="H1472" s="198"/>
      <c r="I1472" s="186"/>
      <c r="J1472" s="186"/>
      <c r="K1472" s="185"/>
      <c r="L1472" s="186"/>
      <c r="M1472" s="36">
        <v>10000000</v>
      </c>
      <c r="N1472" s="37"/>
      <c r="O1472" s="37" t="s">
        <v>34</v>
      </c>
      <c r="P1472" s="47" t="str">
        <f>IF(AND('331-CT'!$F$5=TH!H1472,OR(N1472="331",O1472="331")),"x","")</f>
        <v/>
      </c>
      <c r="Q1472" s="47" t="str">
        <f>IF(AND(B1472='111'!$L$11,OR($N1472=$Q$7,$O1472=$Q$7)),"x","")</f>
        <v/>
      </c>
      <c r="R1472" s="47" t="str">
        <f>IF(AND($N1472=$Q$7,$B1472&lt;'111'!$L$11),"x","")</f>
        <v/>
      </c>
      <c r="S1472" s="47" t="str">
        <f>IF(AND($O1472=$Q$7,$B1472&lt;'111'!$L$11),"x","")</f>
        <v>x</v>
      </c>
    </row>
    <row r="1473" spans="1:19" ht="15.75" customHeight="1">
      <c r="A1473" s="152" t="str">
        <f>IF(B1473&lt;&gt;"",IF(AND(B1473='IN-TC'!$S$4,OR(TH!N1473="1111",TH!O1473="1111")),TH!D1473,""),"")</f>
        <v/>
      </c>
      <c r="B1473" s="34">
        <f t="shared" si="49"/>
        <v>9</v>
      </c>
      <c r="C1473" s="35">
        <f t="shared" si="50"/>
        <v>42618</v>
      </c>
      <c r="D1473" s="212" t="s">
        <v>869</v>
      </c>
      <c r="E1473" s="35">
        <v>42618</v>
      </c>
      <c r="F1473" s="144" t="s">
        <v>1180</v>
      </c>
      <c r="G1473" s="38" t="s">
        <v>203</v>
      </c>
      <c r="H1473" s="198" t="s">
        <v>1418</v>
      </c>
      <c r="I1473" s="186"/>
      <c r="J1473" s="186"/>
      <c r="K1473" s="185"/>
      <c r="L1473" s="186"/>
      <c r="M1473" s="36">
        <v>16511000</v>
      </c>
      <c r="N1473" s="37" t="s">
        <v>814</v>
      </c>
      <c r="O1473" s="37" t="s">
        <v>34</v>
      </c>
      <c r="P1473" s="47" t="str">
        <f>IF(AND('331-CT'!$F$5=TH!H1473,OR(N1473="331",O1473="331")),"x","")</f>
        <v/>
      </c>
      <c r="Q1473" s="47" t="str">
        <f>IF(AND(B1473='111'!$L$11,OR($N1473=$Q$7,$O1473=$Q$7)),"x","")</f>
        <v/>
      </c>
      <c r="R1473" s="47" t="str">
        <f>IF(AND($N1473=$Q$7,$B1473&lt;'111'!$L$11),"x","")</f>
        <v/>
      </c>
      <c r="S1473" s="47" t="str">
        <f>IF(AND($O1473=$Q$7,$B1473&lt;'111'!$L$11),"x","")</f>
        <v>x</v>
      </c>
    </row>
    <row r="1474" spans="1:19" ht="15.75" customHeight="1">
      <c r="A1474" s="152" t="str">
        <f>IF(B1474&lt;&gt;"",IF(AND(B1474='IN-TC'!$S$4,OR(TH!N1474="1111",TH!O1474="1111")),TH!D1474,""),"")</f>
        <v/>
      </c>
      <c r="B1474" s="34">
        <f t="shared" si="49"/>
        <v>9</v>
      </c>
      <c r="C1474" s="35">
        <f t="shared" si="50"/>
        <v>42618</v>
      </c>
      <c r="D1474" s="212" t="s">
        <v>870</v>
      </c>
      <c r="E1474" s="35">
        <v>42618</v>
      </c>
      <c r="F1474" s="144" t="s">
        <v>1383</v>
      </c>
      <c r="G1474" s="38" t="s">
        <v>203</v>
      </c>
      <c r="H1474" s="198" t="s">
        <v>1438</v>
      </c>
      <c r="I1474" s="186"/>
      <c r="J1474" s="186"/>
      <c r="K1474" s="185"/>
      <c r="L1474" s="186"/>
      <c r="M1474" s="36">
        <v>6017000</v>
      </c>
      <c r="N1474" s="37" t="s">
        <v>814</v>
      </c>
      <c r="O1474" s="37" t="s">
        <v>34</v>
      </c>
      <c r="P1474" s="47" t="str">
        <f>IF(AND('331-CT'!$F$5=TH!H1474,OR(N1474="331",O1474="331")),"x","")</f>
        <v/>
      </c>
      <c r="Q1474" s="47" t="str">
        <f>IF(AND(B1474='111'!$L$11,OR($N1474=$Q$7,$O1474=$Q$7)),"x","")</f>
        <v/>
      </c>
      <c r="R1474" s="47" t="str">
        <f>IF(AND($N1474=$Q$7,$B1474&lt;'111'!$L$11),"x","")</f>
        <v/>
      </c>
      <c r="S1474" s="47" t="str">
        <f>IF(AND($O1474=$Q$7,$B1474&lt;'111'!$L$11),"x","")</f>
        <v>x</v>
      </c>
    </row>
    <row r="1475" spans="1:19" ht="15.75" customHeight="1">
      <c r="A1475" s="152" t="str">
        <f>IF(B1475&lt;&gt;"",IF(AND(B1475='IN-TC'!$S$4,OR(TH!N1475="1111",TH!O1475="1111")),TH!D1475,""),"")</f>
        <v/>
      </c>
      <c r="B1475" s="34">
        <f t="shared" si="49"/>
        <v>9</v>
      </c>
      <c r="C1475" s="35">
        <f t="shared" si="50"/>
        <v>42618</v>
      </c>
      <c r="D1475" s="212" t="s">
        <v>871</v>
      </c>
      <c r="E1475" s="35">
        <v>42618</v>
      </c>
      <c r="F1475" s="144" t="s">
        <v>1181</v>
      </c>
      <c r="G1475" s="191"/>
      <c r="H1475" s="198"/>
      <c r="I1475" s="186"/>
      <c r="J1475" s="186"/>
      <c r="K1475" s="185"/>
      <c r="L1475" s="186"/>
      <c r="M1475" s="36">
        <v>260000</v>
      </c>
      <c r="N1475" s="37"/>
      <c r="O1475" s="37" t="s">
        <v>34</v>
      </c>
      <c r="P1475" s="47" t="str">
        <f>IF(AND('331-CT'!$F$5=TH!H1475,OR(N1475="331",O1475="331")),"x","")</f>
        <v/>
      </c>
      <c r="Q1475" s="47" t="str">
        <f>IF(AND(B1475='111'!$L$11,OR($N1475=$Q$7,$O1475=$Q$7)),"x","")</f>
        <v/>
      </c>
      <c r="R1475" s="47" t="str">
        <f>IF(AND($N1475=$Q$7,$B1475&lt;'111'!$L$11),"x","")</f>
        <v/>
      </c>
      <c r="S1475" s="47" t="str">
        <f>IF(AND($O1475=$Q$7,$B1475&lt;'111'!$L$11),"x","")</f>
        <v>x</v>
      </c>
    </row>
    <row r="1476" spans="1:19" ht="15.75" customHeight="1">
      <c r="A1476" s="152" t="str">
        <f>IF(B1476&lt;&gt;"",IF(AND(B1476='IN-TC'!$S$4,OR(TH!N1476="1111",TH!O1476="1111")),TH!D1476,""),"")</f>
        <v/>
      </c>
      <c r="B1476" s="34">
        <f t="shared" si="49"/>
        <v>9</v>
      </c>
      <c r="C1476" s="35">
        <f t="shared" si="50"/>
        <v>42618</v>
      </c>
      <c r="D1476" s="212" t="s">
        <v>872</v>
      </c>
      <c r="E1476" s="35">
        <v>42618</v>
      </c>
      <c r="F1476" s="144" t="s">
        <v>1182</v>
      </c>
      <c r="G1476" s="191"/>
      <c r="H1476" s="198"/>
      <c r="I1476" s="186"/>
      <c r="J1476" s="186"/>
      <c r="K1476" s="185"/>
      <c r="L1476" s="186"/>
      <c r="M1476" s="36">
        <v>4614000</v>
      </c>
      <c r="N1476" s="37"/>
      <c r="O1476" s="37" t="s">
        <v>34</v>
      </c>
      <c r="P1476" s="47" t="str">
        <f>IF(AND('331-CT'!$F$5=TH!H1476,OR(N1476="331",O1476="331")),"x","")</f>
        <v/>
      </c>
      <c r="Q1476" s="47" t="str">
        <f>IF(AND(B1476='111'!$L$11,OR($N1476=$Q$7,$O1476=$Q$7)),"x","")</f>
        <v/>
      </c>
      <c r="R1476" s="47" t="str">
        <f>IF(AND($N1476=$Q$7,$B1476&lt;'111'!$L$11),"x","")</f>
        <v/>
      </c>
      <c r="S1476" s="47" t="str">
        <f>IF(AND($O1476=$Q$7,$B1476&lt;'111'!$L$11),"x","")</f>
        <v>x</v>
      </c>
    </row>
    <row r="1477" spans="1:19" ht="15.75" customHeight="1">
      <c r="A1477" s="152" t="str">
        <f>IF(B1477&lt;&gt;"",IF(AND(B1477='IN-TC'!$S$4,OR(TH!N1477="1111",TH!O1477="1111")),TH!D1477,""),"")</f>
        <v/>
      </c>
      <c r="B1477" s="34">
        <f t="shared" si="49"/>
        <v>9</v>
      </c>
      <c r="C1477" s="35">
        <f t="shared" si="50"/>
        <v>42618</v>
      </c>
      <c r="D1477" s="212" t="s">
        <v>873</v>
      </c>
      <c r="E1477" s="35">
        <v>42618</v>
      </c>
      <c r="F1477" s="144" t="s">
        <v>1183</v>
      </c>
      <c r="G1477" s="191"/>
      <c r="H1477" s="198"/>
      <c r="I1477" s="186"/>
      <c r="J1477" s="186"/>
      <c r="K1477" s="185"/>
      <c r="L1477" s="186"/>
      <c r="M1477" s="36">
        <v>2000000</v>
      </c>
      <c r="N1477" s="37"/>
      <c r="O1477" s="37" t="s">
        <v>34</v>
      </c>
      <c r="P1477" s="47" t="str">
        <f>IF(AND('331-CT'!$F$5=TH!H1477,OR(N1477="331",O1477="331")),"x","")</f>
        <v/>
      </c>
      <c r="Q1477" s="47" t="str">
        <f>IF(AND(B1477='111'!$L$11,OR($N1477=$Q$7,$O1477=$Q$7)),"x","")</f>
        <v/>
      </c>
      <c r="R1477" s="47" t="str">
        <f>IF(AND($N1477=$Q$7,$B1477&lt;'111'!$L$11),"x","")</f>
        <v/>
      </c>
      <c r="S1477" s="47" t="str">
        <f>IF(AND($O1477=$Q$7,$B1477&lt;'111'!$L$11),"x","")</f>
        <v>x</v>
      </c>
    </row>
    <row r="1478" spans="1:19" ht="15.75" customHeight="1">
      <c r="A1478" s="152" t="str">
        <f>IF(B1478&lt;&gt;"",IF(AND(B1478='IN-TC'!$S$4,OR(TH!N1478="1111",TH!O1478="1111")),TH!D1478,""),"")</f>
        <v/>
      </c>
      <c r="B1478" s="34">
        <f t="shared" si="49"/>
        <v>9</v>
      </c>
      <c r="C1478" s="35">
        <f t="shared" si="50"/>
        <v>42618</v>
      </c>
      <c r="D1478" s="212"/>
      <c r="E1478" s="35">
        <v>42618</v>
      </c>
      <c r="F1478" s="144" t="s">
        <v>1440</v>
      </c>
      <c r="G1478" s="191"/>
      <c r="H1478" s="198" t="s">
        <v>839</v>
      </c>
      <c r="I1478" s="186">
        <v>8820</v>
      </c>
      <c r="J1478" s="186">
        <v>42000</v>
      </c>
      <c r="K1478" s="185"/>
      <c r="L1478" s="186"/>
      <c r="M1478" s="36">
        <f t="shared" ref="M1478:M1484" si="52">ROUND(I1478*J1478,0)</f>
        <v>370440000</v>
      </c>
      <c r="N1478" s="37" t="s">
        <v>1443</v>
      </c>
      <c r="O1478" s="37" t="s">
        <v>8</v>
      </c>
      <c r="P1478" s="47" t="str">
        <f>IF(AND('331-CT'!$F$5=TH!H1478,OR(N1478="331",O1478="331")),"x","")</f>
        <v/>
      </c>
      <c r="Q1478" s="47" t="str">
        <f>IF(AND(B1478='111'!$L$11,OR($N1478=$Q$7,$O1478=$Q$7)),"x","")</f>
        <v/>
      </c>
      <c r="R1478" s="47" t="str">
        <f>IF(AND($N1478=$Q$7,$B1478&lt;'111'!$L$11),"x","")</f>
        <v/>
      </c>
      <c r="S1478" s="47" t="str">
        <f>IF(AND($O1478=$Q$7,$B1478&lt;'111'!$L$11),"x","")</f>
        <v/>
      </c>
    </row>
    <row r="1479" spans="1:19" ht="15.75" customHeight="1">
      <c r="A1479" s="152" t="str">
        <f>IF(B1479&lt;&gt;"",IF(AND(B1479='IN-TC'!$S$4,OR(TH!N1479="1111",TH!O1479="1111")),TH!D1479,""),"")</f>
        <v/>
      </c>
      <c r="B1479" s="34">
        <f t="shared" si="49"/>
        <v>9</v>
      </c>
      <c r="C1479" s="35">
        <f t="shared" si="50"/>
        <v>42618</v>
      </c>
      <c r="D1479" s="212"/>
      <c r="E1479" s="35">
        <v>42618</v>
      </c>
      <c r="F1479" s="144" t="s">
        <v>1451</v>
      </c>
      <c r="G1479" s="191"/>
      <c r="H1479" s="198" t="s">
        <v>849</v>
      </c>
      <c r="I1479" s="186">
        <v>10550</v>
      </c>
      <c r="J1479" s="186">
        <v>14000</v>
      </c>
      <c r="K1479" s="185"/>
      <c r="L1479" s="186"/>
      <c r="M1479" s="36">
        <f t="shared" si="52"/>
        <v>147700000</v>
      </c>
      <c r="N1479" s="37" t="s">
        <v>8</v>
      </c>
      <c r="O1479" s="37" t="s">
        <v>1443</v>
      </c>
      <c r="P1479" s="47" t="str">
        <f>IF(AND('331-CT'!$F$5=TH!H1479,OR(N1479="331",O1479="331")),"x","")</f>
        <v/>
      </c>
      <c r="Q1479" s="47" t="str">
        <f>IF(AND(B1479='111'!$L$11,OR($N1479=$Q$7,$O1479=$Q$7)),"x","")</f>
        <v/>
      </c>
      <c r="R1479" s="47" t="str">
        <f>IF(AND($N1479=$Q$7,$B1479&lt;'111'!$L$11),"x","")</f>
        <v/>
      </c>
      <c r="S1479" s="47" t="str">
        <f>IF(AND($O1479=$Q$7,$B1479&lt;'111'!$L$11),"x","")</f>
        <v/>
      </c>
    </row>
    <row r="1480" spans="1:19" ht="15.75" customHeight="1">
      <c r="A1480" s="152" t="str">
        <f>IF(B1480&lt;&gt;"",IF(AND(B1480='IN-TC'!$S$4,OR(TH!N1480="1111",TH!O1480="1111")),TH!D1480,""),"")</f>
        <v/>
      </c>
      <c r="B1480" s="34">
        <f t="shared" si="49"/>
        <v>9</v>
      </c>
      <c r="C1480" s="35">
        <f t="shared" si="50"/>
        <v>42618</v>
      </c>
      <c r="D1480" s="212"/>
      <c r="E1480" s="35">
        <v>42618</v>
      </c>
      <c r="F1480" s="144" t="s">
        <v>1459</v>
      </c>
      <c r="G1480" s="191" t="s">
        <v>204</v>
      </c>
      <c r="H1480" s="198" t="s">
        <v>825</v>
      </c>
      <c r="I1480" s="186">
        <v>4260</v>
      </c>
      <c r="J1480" s="186">
        <v>40000</v>
      </c>
      <c r="K1480" s="185"/>
      <c r="L1480" s="186"/>
      <c r="M1480" s="36">
        <f t="shared" si="52"/>
        <v>170400000</v>
      </c>
      <c r="N1480" s="37" t="s">
        <v>1443</v>
      </c>
      <c r="O1480" s="37" t="s">
        <v>8</v>
      </c>
      <c r="P1480" s="47" t="str">
        <f>IF(AND('331-CT'!$F$5=TH!H1480,OR(N1480="331",O1480="331")),"x","")</f>
        <v/>
      </c>
      <c r="Q1480" s="47" t="str">
        <f>IF(AND(B1480='111'!$L$11,OR($N1480=$Q$7,$O1480=$Q$7)),"x","")</f>
        <v/>
      </c>
      <c r="R1480" s="47" t="str">
        <f>IF(AND($N1480=$Q$7,$B1480&lt;'111'!$L$11),"x","")</f>
        <v/>
      </c>
      <c r="S1480" s="47" t="str">
        <f>IF(AND($O1480=$Q$7,$B1480&lt;'111'!$L$11),"x","")</f>
        <v/>
      </c>
    </row>
    <row r="1481" spans="1:19" ht="15.75" customHeight="1">
      <c r="A1481" s="152" t="str">
        <f>IF(B1481&lt;&gt;"",IF(AND(B1481='IN-TC'!$S$4,OR(TH!N1481="1111",TH!O1481="1111")),TH!D1481,""),"")</f>
        <v/>
      </c>
      <c r="B1481" s="34">
        <f t="shared" si="49"/>
        <v>9</v>
      </c>
      <c r="C1481" s="35">
        <f t="shared" si="50"/>
        <v>42618</v>
      </c>
      <c r="D1481" s="212"/>
      <c r="E1481" s="35">
        <v>42618</v>
      </c>
      <c r="F1481" s="144" t="s">
        <v>1459</v>
      </c>
      <c r="G1481" s="191" t="s">
        <v>204</v>
      </c>
      <c r="H1481" s="198" t="s">
        <v>825</v>
      </c>
      <c r="I1481" s="186">
        <v>4137</v>
      </c>
      <c r="J1481" s="186">
        <v>35000</v>
      </c>
      <c r="K1481" s="185"/>
      <c r="L1481" s="186"/>
      <c r="M1481" s="36">
        <f t="shared" si="52"/>
        <v>144795000</v>
      </c>
      <c r="N1481" s="37" t="s">
        <v>1443</v>
      </c>
      <c r="O1481" s="37" t="s">
        <v>8</v>
      </c>
      <c r="P1481" s="47" t="str">
        <f>IF(AND('331-CT'!$F$5=TH!H1481,OR(N1481="331",O1481="331")),"x","")</f>
        <v/>
      </c>
      <c r="Q1481" s="47" t="str">
        <f>IF(AND(B1481='111'!$L$11,OR($N1481=$Q$7,$O1481=$Q$7)),"x","")</f>
        <v/>
      </c>
      <c r="R1481" s="47" t="str">
        <f>IF(AND($N1481=$Q$7,$B1481&lt;'111'!$L$11),"x","")</f>
        <v/>
      </c>
      <c r="S1481" s="47" t="str">
        <f>IF(AND($O1481=$Q$7,$B1481&lt;'111'!$L$11),"x","")</f>
        <v/>
      </c>
    </row>
    <row r="1482" spans="1:19" ht="15.75" customHeight="1">
      <c r="A1482" s="152" t="str">
        <f>IF(B1482&lt;&gt;"",IF(AND(B1482='IN-TC'!$S$4,OR(TH!N1482="1111",TH!O1482="1111")),TH!D1482,""),"")</f>
        <v/>
      </c>
      <c r="B1482" s="34">
        <f t="shared" si="49"/>
        <v>9</v>
      </c>
      <c r="C1482" s="35">
        <f t="shared" si="50"/>
        <v>42618</v>
      </c>
      <c r="D1482" s="212"/>
      <c r="E1482" s="35">
        <v>42618</v>
      </c>
      <c r="F1482" s="144" t="s">
        <v>1464</v>
      </c>
      <c r="G1482" s="191"/>
      <c r="H1482" s="198" t="s">
        <v>821</v>
      </c>
      <c r="I1482" s="186">
        <v>1225</v>
      </c>
      <c r="J1482" s="186">
        <v>21000</v>
      </c>
      <c r="K1482" s="185"/>
      <c r="L1482" s="186"/>
      <c r="M1482" s="36">
        <f t="shared" si="52"/>
        <v>25725000</v>
      </c>
      <c r="N1482" s="37" t="s">
        <v>1443</v>
      </c>
      <c r="O1482" s="37" t="s">
        <v>8</v>
      </c>
      <c r="P1482" s="47" t="str">
        <f>IF(AND('331-CT'!$F$5=TH!H1482,OR(N1482="331",O1482="331")),"x","")</f>
        <v/>
      </c>
      <c r="Q1482" s="47" t="str">
        <f>IF(AND(B1482='111'!$L$11,OR($N1482=$Q$7,$O1482=$Q$7)),"x","")</f>
        <v/>
      </c>
      <c r="R1482" s="47" t="str">
        <f>IF(AND($N1482=$Q$7,$B1482&lt;'111'!$L$11),"x","")</f>
        <v/>
      </c>
      <c r="S1482" s="47" t="str">
        <f>IF(AND($O1482=$Q$7,$B1482&lt;'111'!$L$11),"x","")</f>
        <v/>
      </c>
    </row>
    <row r="1483" spans="1:19" ht="15.75" customHeight="1">
      <c r="A1483" s="152" t="str">
        <f>IF(B1483&lt;&gt;"",IF(AND(B1483='IN-TC'!$S$4,OR(TH!N1483="1111",TH!O1483="1111")),TH!D1483,""),"")</f>
        <v/>
      </c>
      <c r="B1483" s="34">
        <f t="shared" si="49"/>
        <v>9</v>
      </c>
      <c r="C1483" s="35">
        <f t="shared" si="50"/>
        <v>42618</v>
      </c>
      <c r="D1483" s="212"/>
      <c r="E1483" s="35">
        <v>42618</v>
      </c>
      <c r="F1483" s="144" t="s">
        <v>1473</v>
      </c>
      <c r="G1483" s="191"/>
      <c r="H1483" s="198" t="s">
        <v>821</v>
      </c>
      <c r="I1483" s="186">
        <v>2758</v>
      </c>
      <c r="J1483" s="186">
        <v>25000</v>
      </c>
      <c r="K1483" s="185"/>
      <c r="L1483" s="186"/>
      <c r="M1483" s="36">
        <f t="shared" si="52"/>
        <v>68950000</v>
      </c>
      <c r="N1483" s="37" t="s">
        <v>1443</v>
      </c>
      <c r="O1483" s="37" t="s">
        <v>8</v>
      </c>
      <c r="P1483" s="47" t="str">
        <f>IF(AND('331-CT'!$F$5=TH!H1483,OR(N1483="331",O1483="331")),"x","")</f>
        <v/>
      </c>
      <c r="Q1483" s="47" t="str">
        <f>IF(AND(B1483='111'!$L$11,OR($N1483=$Q$7,$O1483=$Q$7)),"x","")</f>
        <v/>
      </c>
      <c r="R1483" s="47" t="str">
        <f>IF(AND($N1483=$Q$7,$B1483&lt;'111'!$L$11),"x","")</f>
        <v/>
      </c>
      <c r="S1483" s="47" t="str">
        <f>IF(AND($O1483=$Q$7,$B1483&lt;'111'!$L$11),"x","")</f>
        <v/>
      </c>
    </row>
    <row r="1484" spans="1:19" ht="15.75" customHeight="1">
      <c r="A1484" s="152" t="str">
        <f>IF(B1484&lt;&gt;"",IF(AND(B1484='IN-TC'!$S$4,OR(TH!N1484="1111",TH!O1484="1111")),TH!D1484,""),"")</f>
        <v/>
      </c>
      <c r="B1484" s="34">
        <f t="shared" si="49"/>
        <v>9</v>
      </c>
      <c r="C1484" s="35">
        <f t="shared" si="50"/>
        <v>42618</v>
      </c>
      <c r="D1484" s="212"/>
      <c r="E1484" s="35">
        <v>42618</v>
      </c>
      <c r="F1484" s="144" t="s">
        <v>1466</v>
      </c>
      <c r="G1484" s="191" t="s">
        <v>204</v>
      </c>
      <c r="H1484" s="198" t="s">
        <v>832</v>
      </c>
      <c r="I1484" s="186">
        <v>594</v>
      </c>
      <c r="J1484" s="186">
        <v>15000</v>
      </c>
      <c r="K1484" s="185"/>
      <c r="L1484" s="186"/>
      <c r="M1484" s="36">
        <f t="shared" si="52"/>
        <v>8910000</v>
      </c>
      <c r="N1484" s="37" t="s">
        <v>1443</v>
      </c>
      <c r="O1484" s="37" t="s">
        <v>8</v>
      </c>
      <c r="P1484" s="47" t="str">
        <f>IF(AND('331-CT'!$F$5=TH!H1484,OR(N1484="331",O1484="331")),"x","")</f>
        <v/>
      </c>
      <c r="Q1484" s="47" t="str">
        <f>IF(AND(B1484='111'!$L$11,OR($N1484=$Q$7,$O1484=$Q$7)),"x","")</f>
        <v/>
      </c>
      <c r="R1484" s="47" t="str">
        <f>IF(AND($N1484=$Q$7,$B1484&lt;'111'!$L$11),"x","")</f>
        <v/>
      </c>
      <c r="S1484" s="47" t="str">
        <f>IF(AND($O1484=$Q$7,$B1484&lt;'111'!$L$11),"x","")</f>
        <v/>
      </c>
    </row>
    <row r="1485" spans="1:19" ht="15.75" customHeight="1">
      <c r="A1485" s="152" t="str">
        <f>IF(B1485&lt;&gt;"",IF(AND(B1485='IN-TC'!$S$4,OR(TH!N1485="1111",TH!O1485="1111")),TH!D1485,""),"")</f>
        <v/>
      </c>
      <c r="B1485" s="34">
        <f t="shared" ref="B1485:B1548" si="53">IF(C1485&lt;&gt;"",MONTH(C1485),"")</f>
        <v>9</v>
      </c>
      <c r="C1485" s="35">
        <f t="shared" ref="C1485:C1548" si="54">E1485</f>
        <v>42618</v>
      </c>
      <c r="D1485" s="212"/>
      <c r="E1485" s="35">
        <v>42618</v>
      </c>
      <c r="F1485" s="144" t="s">
        <v>1469</v>
      </c>
      <c r="G1485" s="191"/>
      <c r="H1485" s="198" t="s">
        <v>1420</v>
      </c>
      <c r="I1485" s="186">
        <v>5944</v>
      </c>
      <c r="J1485" s="186">
        <v>23500</v>
      </c>
      <c r="K1485" s="185"/>
      <c r="L1485" s="186"/>
      <c r="M1485" s="36">
        <f>ROUND(I1485*J1485,-3)</f>
        <v>139684000</v>
      </c>
      <c r="N1485" s="37" t="s">
        <v>1443</v>
      </c>
      <c r="O1485" s="37" t="s">
        <v>8</v>
      </c>
      <c r="P1485" s="47" t="str">
        <f>IF(AND('331-CT'!$F$5=TH!H1485,OR(N1485="331",O1485="331")),"x","")</f>
        <v/>
      </c>
      <c r="Q1485" s="47" t="str">
        <f>IF(AND(B1485='111'!$L$11,OR($N1485=$Q$7,$O1485=$Q$7)),"x","")</f>
        <v/>
      </c>
      <c r="R1485" s="47" t="str">
        <f>IF(AND($N1485=$Q$7,$B1485&lt;'111'!$L$11),"x","")</f>
        <v/>
      </c>
      <c r="S1485" s="47" t="str">
        <f>IF(AND($O1485=$Q$7,$B1485&lt;'111'!$L$11),"x","")</f>
        <v/>
      </c>
    </row>
    <row r="1486" spans="1:19" ht="15.75" customHeight="1">
      <c r="A1486" s="152" t="str">
        <f>IF(B1486&lt;&gt;"",IF(AND(B1486='IN-TC'!$S$4,OR(TH!N1486="1111",TH!O1486="1111")),TH!D1486,""),"")</f>
        <v/>
      </c>
      <c r="B1486" s="34">
        <f t="shared" si="53"/>
        <v>9</v>
      </c>
      <c r="C1486" s="35">
        <f t="shared" si="54"/>
        <v>42619</v>
      </c>
      <c r="D1486" s="212" t="s">
        <v>874</v>
      </c>
      <c r="E1486" s="35">
        <v>42619</v>
      </c>
      <c r="F1486" s="144" t="s">
        <v>1184</v>
      </c>
      <c r="G1486" s="191"/>
      <c r="H1486" s="198"/>
      <c r="I1486" s="186"/>
      <c r="J1486" s="186"/>
      <c r="K1486" s="185"/>
      <c r="L1486" s="186"/>
      <c r="M1486" s="36">
        <v>116000</v>
      </c>
      <c r="N1486" s="37"/>
      <c r="O1486" s="37" t="s">
        <v>34</v>
      </c>
      <c r="P1486" s="47" t="str">
        <f>IF(AND('331-CT'!$F$5=TH!H1486,OR(N1486="331",O1486="331")),"x","")</f>
        <v/>
      </c>
      <c r="Q1486" s="47" t="str">
        <f>IF(AND(B1486='111'!$L$11,OR($N1486=$Q$7,$O1486=$Q$7)),"x","")</f>
        <v/>
      </c>
      <c r="R1486" s="47" t="str">
        <f>IF(AND($N1486=$Q$7,$B1486&lt;'111'!$L$11),"x","")</f>
        <v/>
      </c>
      <c r="S1486" s="47" t="str">
        <f>IF(AND($O1486=$Q$7,$B1486&lt;'111'!$L$11),"x","")</f>
        <v>x</v>
      </c>
    </row>
    <row r="1487" spans="1:19" ht="15.75" customHeight="1">
      <c r="A1487" s="152" t="str">
        <f>IF(B1487&lt;&gt;"",IF(AND(B1487='IN-TC'!$S$4,OR(TH!N1487="1111",TH!O1487="1111")),TH!D1487,""),"")</f>
        <v/>
      </c>
      <c r="B1487" s="34">
        <f t="shared" si="53"/>
        <v>9</v>
      </c>
      <c r="C1487" s="35">
        <f t="shared" si="54"/>
        <v>42619</v>
      </c>
      <c r="D1487" s="212" t="s">
        <v>875</v>
      </c>
      <c r="E1487" s="35">
        <v>42619</v>
      </c>
      <c r="F1487" s="144" t="s">
        <v>1185</v>
      </c>
      <c r="G1487" s="191" t="s">
        <v>207</v>
      </c>
      <c r="H1487" s="198"/>
      <c r="I1487" s="186"/>
      <c r="J1487" s="186"/>
      <c r="K1487" s="185"/>
      <c r="L1487" s="186"/>
      <c r="M1487" s="36">
        <v>1215000</v>
      </c>
      <c r="N1487" s="37"/>
      <c r="O1487" s="37" t="s">
        <v>34</v>
      </c>
      <c r="P1487" s="47" t="str">
        <f>IF(AND('331-CT'!$F$5=TH!H1487,OR(N1487="331",O1487="331")),"x","")</f>
        <v/>
      </c>
      <c r="Q1487" s="47" t="str">
        <f>IF(AND(B1487='111'!$L$11,OR($N1487=$Q$7,$O1487=$Q$7)),"x","")</f>
        <v/>
      </c>
      <c r="R1487" s="47" t="str">
        <f>IF(AND($N1487=$Q$7,$B1487&lt;'111'!$L$11),"x","")</f>
        <v/>
      </c>
      <c r="S1487" s="47" t="str">
        <f>IF(AND($O1487=$Q$7,$B1487&lt;'111'!$L$11),"x","")</f>
        <v>x</v>
      </c>
    </row>
    <row r="1488" spans="1:19" ht="15.75" customHeight="1">
      <c r="A1488" s="152" t="str">
        <f>IF(B1488&lt;&gt;"",IF(AND(B1488='IN-TC'!$S$4,OR(TH!N1488="1111",TH!O1488="1111")),TH!D1488,""),"")</f>
        <v/>
      </c>
      <c r="B1488" s="34">
        <f t="shared" si="53"/>
        <v>9</v>
      </c>
      <c r="C1488" s="35">
        <f t="shared" si="54"/>
        <v>42619</v>
      </c>
      <c r="D1488" s="212" t="s">
        <v>876</v>
      </c>
      <c r="E1488" s="35">
        <v>42619</v>
      </c>
      <c r="F1488" s="144" t="s">
        <v>1186</v>
      </c>
      <c r="G1488" s="191"/>
      <c r="H1488" s="198"/>
      <c r="I1488" s="186"/>
      <c r="J1488" s="186"/>
      <c r="K1488" s="185"/>
      <c r="L1488" s="186"/>
      <c r="M1488" s="36">
        <v>2000000</v>
      </c>
      <c r="N1488" s="37"/>
      <c r="O1488" s="37" t="s">
        <v>34</v>
      </c>
      <c r="P1488" s="47" t="str">
        <f>IF(AND('331-CT'!$F$5=TH!H1488,OR(N1488="331",O1488="331")),"x","")</f>
        <v/>
      </c>
      <c r="Q1488" s="47" t="str">
        <f>IF(AND(B1488='111'!$L$11,OR($N1488=$Q$7,$O1488=$Q$7)),"x","")</f>
        <v/>
      </c>
      <c r="R1488" s="47" t="str">
        <f>IF(AND($N1488=$Q$7,$B1488&lt;'111'!$L$11),"x","")</f>
        <v/>
      </c>
      <c r="S1488" s="47" t="str">
        <f>IF(AND($O1488=$Q$7,$B1488&lt;'111'!$L$11),"x","")</f>
        <v>x</v>
      </c>
    </row>
    <row r="1489" spans="1:19" ht="15.75" customHeight="1">
      <c r="A1489" s="152" t="str">
        <f>IF(B1489&lt;&gt;"",IF(AND(B1489='IN-TC'!$S$4,OR(TH!N1489="1111",TH!O1489="1111")),TH!D1489,""),"")</f>
        <v/>
      </c>
      <c r="B1489" s="34">
        <f t="shared" si="53"/>
        <v>9</v>
      </c>
      <c r="C1489" s="35">
        <f t="shared" si="54"/>
        <v>42619</v>
      </c>
      <c r="D1489" s="212" t="s">
        <v>877</v>
      </c>
      <c r="E1489" s="35">
        <v>42619</v>
      </c>
      <c r="F1489" s="144" t="s">
        <v>1187</v>
      </c>
      <c r="G1489" s="191"/>
      <c r="H1489" s="198"/>
      <c r="I1489" s="186"/>
      <c r="J1489" s="186"/>
      <c r="K1489" s="185"/>
      <c r="L1489" s="186"/>
      <c r="M1489" s="36">
        <v>8450000</v>
      </c>
      <c r="N1489" s="37"/>
      <c r="O1489" s="37" t="s">
        <v>34</v>
      </c>
      <c r="P1489" s="47" t="str">
        <f>IF(AND('331-CT'!$F$5=TH!H1489,OR(N1489="331",O1489="331")),"x","")</f>
        <v/>
      </c>
      <c r="Q1489" s="47" t="str">
        <f>IF(AND(B1489='111'!$L$11,OR($N1489=$Q$7,$O1489=$Q$7)),"x","")</f>
        <v/>
      </c>
      <c r="R1489" s="47" t="str">
        <f>IF(AND($N1489=$Q$7,$B1489&lt;'111'!$L$11),"x","")</f>
        <v/>
      </c>
      <c r="S1489" s="47" t="str">
        <f>IF(AND($O1489=$Q$7,$B1489&lt;'111'!$L$11),"x","")</f>
        <v>x</v>
      </c>
    </row>
    <row r="1490" spans="1:19" ht="15.75" customHeight="1">
      <c r="A1490" s="152" t="str">
        <f>IF(B1490&lt;&gt;"",IF(AND(B1490='IN-TC'!$S$4,OR(TH!N1490="1111",TH!O1490="1111")),TH!D1490,""),"")</f>
        <v/>
      </c>
      <c r="B1490" s="34">
        <f t="shared" si="53"/>
        <v>9</v>
      </c>
      <c r="C1490" s="35">
        <f t="shared" si="54"/>
        <v>42619</v>
      </c>
      <c r="D1490" s="212" t="s">
        <v>878</v>
      </c>
      <c r="E1490" s="35">
        <v>42619</v>
      </c>
      <c r="F1490" s="144" t="s">
        <v>1188</v>
      </c>
      <c r="G1490" s="191" t="s">
        <v>220</v>
      </c>
      <c r="H1490" s="198"/>
      <c r="I1490" s="186"/>
      <c r="J1490" s="186"/>
      <c r="K1490" s="185"/>
      <c r="L1490" s="186"/>
      <c r="M1490" s="36">
        <v>24362000</v>
      </c>
      <c r="N1490" s="37"/>
      <c r="O1490" s="37" t="s">
        <v>34</v>
      </c>
      <c r="P1490" s="47" t="str">
        <f>IF(AND('331-CT'!$F$5=TH!H1490,OR(N1490="331",O1490="331")),"x","")</f>
        <v/>
      </c>
      <c r="Q1490" s="47" t="str">
        <f>IF(AND(B1490='111'!$L$11,OR($N1490=$Q$7,$O1490=$Q$7)),"x","")</f>
        <v/>
      </c>
      <c r="R1490" s="47" t="str">
        <f>IF(AND($N1490=$Q$7,$B1490&lt;'111'!$L$11),"x","")</f>
        <v/>
      </c>
      <c r="S1490" s="47" t="str">
        <f>IF(AND($O1490=$Q$7,$B1490&lt;'111'!$L$11),"x","")</f>
        <v>x</v>
      </c>
    </row>
    <row r="1491" spans="1:19" ht="15.75" customHeight="1">
      <c r="A1491" s="152" t="str">
        <f>IF(B1491&lt;&gt;"",IF(AND(B1491='IN-TC'!$S$4,OR(TH!N1491="1111",TH!O1491="1111")),TH!D1491,""),"")</f>
        <v/>
      </c>
      <c r="B1491" s="34">
        <f t="shared" si="53"/>
        <v>9</v>
      </c>
      <c r="C1491" s="35">
        <f t="shared" si="54"/>
        <v>42620</v>
      </c>
      <c r="D1491" s="212" t="s">
        <v>879</v>
      </c>
      <c r="E1491" s="35">
        <v>42620</v>
      </c>
      <c r="F1491" s="144" t="s">
        <v>1189</v>
      </c>
      <c r="G1491" s="191"/>
      <c r="H1491" s="198"/>
      <c r="I1491" s="186"/>
      <c r="J1491" s="186"/>
      <c r="K1491" s="185"/>
      <c r="L1491" s="186"/>
      <c r="M1491" s="36">
        <v>1334000</v>
      </c>
      <c r="N1491" s="37"/>
      <c r="O1491" s="37" t="s">
        <v>34</v>
      </c>
      <c r="P1491" s="47" t="str">
        <f>IF(AND('331-CT'!$F$5=TH!H1491,OR(N1491="331",O1491="331")),"x","")</f>
        <v/>
      </c>
      <c r="Q1491" s="47" t="str">
        <f>IF(AND(B1491='111'!$L$11,OR($N1491=$Q$7,$O1491=$Q$7)),"x","")</f>
        <v/>
      </c>
      <c r="R1491" s="47" t="str">
        <f>IF(AND($N1491=$Q$7,$B1491&lt;'111'!$L$11),"x","")</f>
        <v/>
      </c>
      <c r="S1491" s="47" t="str">
        <f>IF(AND($O1491=$Q$7,$B1491&lt;'111'!$L$11),"x","")</f>
        <v>x</v>
      </c>
    </row>
    <row r="1492" spans="1:19" ht="15.75" customHeight="1">
      <c r="A1492" s="152" t="str">
        <f>IF(B1492&lt;&gt;"",IF(AND(B1492='IN-TC'!$S$4,OR(TH!N1492="1111",TH!O1492="1111")),TH!D1492,""),"")</f>
        <v/>
      </c>
      <c r="B1492" s="34">
        <f t="shared" si="53"/>
        <v>9</v>
      </c>
      <c r="C1492" s="35">
        <f t="shared" si="54"/>
        <v>42620</v>
      </c>
      <c r="D1492" s="212" t="s">
        <v>880</v>
      </c>
      <c r="E1492" s="35">
        <v>42620</v>
      </c>
      <c r="F1492" s="144" t="s">
        <v>1190</v>
      </c>
      <c r="G1492" s="191"/>
      <c r="H1492" s="198"/>
      <c r="I1492" s="186"/>
      <c r="J1492" s="186"/>
      <c r="K1492" s="185"/>
      <c r="L1492" s="186"/>
      <c r="M1492" s="36">
        <v>6000000</v>
      </c>
      <c r="N1492" s="37"/>
      <c r="O1492" s="37" t="s">
        <v>34</v>
      </c>
      <c r="P1492" s="47" t="str">
        <f>IF(AND('331-CT'!$F$5=TH!H1492,OR(N1492="331",O1492="331")),"x","")</f>
        <v/>
      </c>
      <c r="Q1492" s="47" t="str">
        <f>IF(AND(B1492='111'!$L$11,OR($N1492=$Q$7,$O1492=$Q$7)),"x","")</f>
        <v/>
      </c>
      <c r="R1492" s="47" t="str">
        <f>IF(AND($N1492=$Q$7,$B1492&lt;'111'!$L$11),"x","")</f>
        <v/>
      </c>
      <c r="S1492" s="47" t="str">
        <f>IF(AND($O1492=$Q$7,$B1492&lt;'111'!$L$11),"x","")</f>
        <v>x</v>
      </c>
    </row>
    <row r="1493" spans="1:19" ht="15.75" customHeight="1">
      <c r="A1493" s="152" t="str">
        <f>IF(B1493&lt;&gt;"",IF(AND(B1493='IN-TC'!$S$4,OR(TH!N1493="1111",TH!O1493="1111")),TH!D1493,""),"")</f>
        <v/>
      </c>
      <c r="B1493" s="34">
        <f t="shared" si="53"/>
        <v>9</v>
      </c>
      <c r="C1493" s="35">
        <f t="shared" si="54"/>
        <v>42621</v>
      </c>
      <c r="D1493" s="212"/>
      <c r="E1493" s="35">
        <v>42621</v>
      </c>
      <c r="F1493" s="144" t="s">
        <v>1508</v>
      </c>
      <c r="G1493" s="191" t="s">
        <v>1454</v>
      </c>
      <c r="H1493" s="198" t="s">
        <v>820</v>
      </c>
      <c r="I1493" s="186">
        <v>2000</v>
      </c>
      <c r="J1493" s="186">
        <v>52000</v>
      </c>
      <c r="K1493" s="185"/>
      <c r="L1493" s="186"/>
      <c r="M1493" s="36">
        <f>ROUND(I1493*J1493,-3)</f>
        <v>104000000</v>
      </c>
      <c r="N1493" s="37" t="s">
        <v>1443</v>
      </c>
      <c r="O1493" s="37" t="s">
        <v>8</v>
      </c>
      <c r="P1493" s="47" t="str">
        <f>IF(AND('331-CT'!$F$5=TH!H1493,OR(N1493="331",O1493="331")),"x","")</f>
        <v/>
      </c>
      <c r="Q1493" s="47" t="str">
        <f>IF(AND(B1493='111'!$L$11,OR($N1493=$Q$7,$O1493=$Q$7)),"x","")</f>
        <v/>
      </c>
      <c r="R1493" s="47" t="str">
        <f>IF(AND($N1493=$Q$7,$B1493&lt;'111'!$L$11),"x","")</f>
        <v/>
      </c>
      <c r="S1493" s="47" t="str">
        <f>IF(AND($O1493=$Q$7,$B1493&lt;'111'!$L$11),"x","")</f>
        <v/>
      </c>
    </row>
    <row r="1494" spans="1:19" ht="15.75" customHeight="1">
      <c r="A1494" s="152" t="str">
        <f>IF(B1494&lt;&gt;"",IF(AND(B1494='IN-TC'!$S$4,OR(TH!N1494="1111",TH!O1494="1111")),TH!D1494,""),"")</f>
        <v/>
      </c>
      <c r="B1494" s="34">
        <f t="shared" si="53"/>
        <v>9</v>
      </c>
      <c r="C1494" s="35">
        <f t="shared" si="54"/>
        <v>42622</v>
      </c>
      <c r="D1494" s="212" t="s">
        <v>934</v>
      </c>
      <c r="E1494" s="35">
        <v>42622</v>
      </c>
      <c r="F1494" s="144" t="s">
        <v>1191</v>
      </c>
      <c r="G1494" s="191" t="s">
        <v>104</v>
      </c>
      <c r="H1494" s="198"/>
      <c r="I1494" s="186"/>
      <c r="J1494" s="186"/>
      <c r="K1494" s="185"/>
      <c r="L1494" s="186"/>
      <c r="M1494" s="36">
        <v>1850000000</v>
      </c>
      <c r="N1494" s="37" t="s">
        <v>34</v>
      </c>
      <c r="O1494" s="37"/>
      <c r="P1494" s="47" t="str">
        <f>IF(AND('331-CT'!$F$5=TH!H1494,OR(N1494="331",O1494="331")),"x","")</f>
        <v/>
      </c>
      <c r="Q1494" s="47" t="str">
        <f>IF(AND(B1494='111'!$L$11,OR($N1494=$Q$7,$O1494=$Q$7)),"x","")</f>
        <v/>
      </c>
      <c r="R1494" s="47" t="str">
        <f>IF(AND($N1494=$Q$7,$B1494&lt;'111'!$L$11),"x","")</f>
        <v>x</v>
      </c>
      <c r="S1494" s="47" t="str">
        <f>IF(AND($O1494=$Q$7,$B1494&lt;'111'!$L$11),"x","")</f>
        <v/>
      </c>
    </row>
    <row r="1495" spans="1:19" ht="15.75" customHeight="1">
      <c r="A1495" s="152" t="str">
        <f>IF(B1495&lt;&gt;"",IF(AND(B1495='IN-TC'!$S$4,OR(TH!N1495="1111",TH!O1495="1111")),TH!D1495,""),"")</f>
        <v/>
      </c>
      <c r="B1495" s="34">
        <f t="shared" si="53"/>
        <v>9</v>
      </c>
      <c r="C1495" s="35">
        <f t="shared" si="54"/>
        <v>42622</v>
      </c>
      <c r="D1495" s="212" t="s">
        <v>935</v>
      </c>
      <c r="E1495" s="35">
        <v>42622</v>
      </c>
      <c r="F1495" s="144" t="s">
        <v>1192</v>
      </c>
      <c r="G1495" s="191" t="s">
        <v>104</v>
      </c>
      <c r="H1495" s="198"/>
      <c r="I1495" s="186"/>
      <c r="J1495" s="186"/>
      <c r="K1495" s="185"/>
      <c r="L1495" s="186"/>
      <c r="M1495" s="36">
        <v>100000000</v>
      </c>
      <c r="N1495" s="37" t="s">
        <v>34</v>
      </c>
      <c r="O1495" s="37"/>
      <c r="P1495" s="47" t="str">
        <f>IF(AND('331-CT'!$F$5=TH!H1495,OR(N1495="331",O1495="331")),"x","")</f>
        <v/>
      </c>
      <c r="Q1495" s="47" t="str">
        <f>IF(AND(B1495='111'!$L$11,OR($N1495=$Q$7,$O1495=$Q$7)),"x","")</f>
        <v/>
      </c>
      <c r="R1495" s="47" t="str">
        <f>IF(AND($N1495=$Q$7,$B1495&lt;'111'!$L$11),"x","")</f>
        <v>x</v>
      </c>
      <c r="S1495" s="47" t="str">
        <f>IF(AND($O1495=$Q$7,$B1495&lt;'111'!$L$11),"x","")</f>
        <v/>
      </c>
    </row>
    <row r="1496" spans="1:19" ht="15.75" customHeight="1">
      <c r="A1496" s="152" t="str">
        <f>IF(B1496&lt;&gt;"",IF(AND(B1496='IN-TC'!$S$4,OR(TH!N1496="1111",TH!O1496="1111")),TH!D1496,""),"")</f>
        <v/>
      </c>
      <c r="B1496" s="34">
        <f t="shared" si="53"/>
        <v>9</v>
      </c>
      <c r="C1496" s="35">
        <f t="shared" si="54"/>
        <v>42622</v>
      </c>
      <c r="D1496" s="212" t="s">
        <v>882</v>
      </c>
      <c r="E1496" s="35">
        <v>42622</v>
      </c>
      <c r="F1496" s="144" t="s">
        <v>1193</v>
      </c>
      <c r="G1496" s="191"/>
      <c r="H1496" s="198"/>
      <c r="I1496" s="186"/>
      <c r="J1496" s="186"/>
      <c r="K1496" s="185"/>
      <c r="L1496" s="186"/>
      <c r="M1496" s="36">
        <v>13000000</v>
      </c>
      <c r="N1496" s="37"/>
      <c r="O1496" s="37" t="s">
        <v>34</v>
      </c>
      <c r="P1496" s="47" t="str">
        <f>IF(AND('331-CT'!$F$5=TH!H1496,OR(N1496="331",O1496="331")),"x","")</f>
        <v/>
      </c>
      <c r="Q1496" s="47" t="str">
        <f>IF(AND(B1496='111'!$L$11,OR($N1496=$Q$7,$O1496=$Q$7)),"x","")</f>
        <v/>
      </c>
      <c r="R1496" s="47" t="str">
        <f>IF(AND($N1496=$Q$7,$B1496&lt;'111'!$L$11),"x","")</f>
        <v/>
      </c>
      <c r="S1496" s="47" t="str">
        <f>IF(AND($O1496=$Q$7,$B1496&lt;'111'!$L$11),"x","")</f>
        <v>x</v>
      </c>
    </row>
    <row r="1497" spans="1:19" ht="15.75" customHeight="1">
      <c r="A1497" s="152" t="str">
        <f>IF(B1497&lt;&gt;"",IF(AND(B1497='IN-TC'!$S$4,OR(TH!N1497="1111",TH!O1497="1111")),TH!D1497,""),"")</f>
        <v/>
      </c>
      <c r="B1497" s="34">
        <f t="shared" si="53"/>
        <v>9</v>
      </c>
      <c r="C1497" s="35">
        <f t="shared" si="54"/>
        <v>42622</v>
      </c>
      <c r="D1497" s="212" t="s">
        <v>883</v>
      </c>
      <c r="E1497" s="35">
        <v>42622</v>
      </c>
      <c r="F1497" s="144" t="s">
        <v>1194</v>
      </c>
      <c r="G1497" s="191" t="s">
        <v>204</v>
      </c>
      <c r="H1497" s="198"/>
      <c r="I1497" s="186"/>
      <c r="J1497" s="186"/>
      <c r="K1497" s="185"/>
      <c r="L1497" s="186"/>
      <c r="M1497" s="36">
        <v>30017000</v>
      </c>
      <c r="N1497" s="37"/>
      <c r="O1497" s="37" t="s">
        <v>34</v>
      </c>
      <c r="P1497" s="47" t="str">
        <f>IF(AND('331-CT'!$F$5=TH!H1497,OR(N1497="331",O1497="331")),"x","")</f>
        <v/>
      </c>
      <c r="Q1497" s="47" t="str">
        <f>IF(AND(B1497='111'!$L$11,OR($N1497=$Q$7,$O1497=$Q$7)),"x","")</f>
        <v/>
      </c>
      <c r="R1497" s="47" t="str">
        <f>IF(AND($N1497=$Q$7,$B1497&lt;'111'!$L$11),"x","")</f>
        <v/>
      </c>
      <c r="S1497" s="47" t="str">
        <f>IF(AND($O1497=$Q$7,$B1497&lt;'111'!$L$11),"x","")</f>
        <v>x</v>
      </c>
    </row>
    <row r="1498" spans="1:19" ht="15.75" customHeight="1">
      <c r="A1498" s="152" t="str">
        <f>IF(B1498&lt;&gt;"",IF(AND(B1498='IN-TC'!$S$4,OR(TH!N1498="1111",TH!O1498="1111")),TH!D1498,""),"")</f>
        <v/>
      </c>
      <c r="B1498" s="34">
        <f t="shared" si="53"/>
        <v>9</v>
      </c>
      <c r="C1498" s="35">
        <f t="shared" si="54"/>
        <v>42622</v>
      </c>
      <c r="D1498" s="212" t="s">
        <v>884</v>
      </c>
      <c r="E1498" s="35">
        <v>42622</v>
      </c>
      <c r="F1498" s="144" t="s">
        <v>366</v>
      </c>
      <c r="G1498" s="191" t="s">
        <v>206</v>
      </c>
      <c r="H1498" s="198" t="s">
        <v>839</v>
      </c>
      <c r="I1498" s="186"/>
      <c r="J1498" s="186"/>
      <c r="K1498" s="185"/>
      <c r="L1498" s="186"/>
      <c r="M1498" s="36">
        <v>200000000</v>
      </c>
      <c r="N1498" s="37" t="s">
        <v>8</v>
      </c>
      <c r="O1498" s="37" t="s">
        <v>34</v>
      </c>
      <c r="P1498" s="47" t="str">
        <f>IF(AND('331-CT'!$F$5=TH!H1498,OR(N1498="331",O1498="331")),"x","")</f>
        <v/>
      </c>
      <c r="Q1498" s="47" t="str">
        <f>IF(AND(B1498='111'!$L$11,OR($N1498=$Q$7,$O1498=$Q$7)),"x","")</f>
        <v/>
      </c>
      <c r="R1498" s="47" t="str">
        <f>IF(AND($N1498=$Q$7,$B1498&lt;'111'!$L$11),"x","")</f>
        <v/>
      </c>
      <c r="S1498" s="47" t="str">
        <f>IF(AND($O1498=$Q$7,$B1498&lt;'111'!$L$11),"x","")</f>
        <v>x</v>
      </c>
    </row>
    <row r="1499" spans="1:19" ht="15.75" customHeight="1">
      <c r="A1499" s="152" t="str">
        <f>IF(B1499&lt;&gt;"",IF(AND(B1499='IN-TC'!$S$4,OR(TH!N1499="1111",TH!O1499="1111")),TH!D1499,""),"")</f>
        <v/>
      </c>
      <c r="B1499" s="34">
        <f t="shared" si="53"/>
        <v>9</v>
      </c>
      <c r="C1499" s="35">
        <f t="shared" si="54"/>
        <v>42622</v>
      </c>
      <c r="D1499" s="212" t="s">
        <v>885</v>
      </c>
      <c r="E1499" s="35">
        <v>42622</v>
      </c>
      <c r="F1499" s="144" t="s">
        <v>1195</v>
      </c>
      <c r="G1499" s="191" t="s">
        <v>206</v>
      </c>
      <c r="H1499" s="198" t="s">
        <v>1397</v>
      </c>
      <c r="I1499" s="186"/>
      <c r="J1499" s="186"/>
      <c r="K1499" s="185"/>
      <c r="L1499" s="186"/>
      <c r="M1499" s="36">
        <v>100000000</v>
      </c>
      <c r="N1499" s="37" t="s">
        <v>8</v>
      </c>
      <c r="O1499" s="37" t="s">
        <v>34</v>
      </c>
      <c r="P1499" s="47" t="str">
        <f>IF(AND('331-CT'!$F$5=TH!H1499,OR(N1499="331",O1499="331")),"x","")</f>
        <v/>
      </c>
      <c r="Q1499" s="47" t="str">
        <f>IF(AND(B1499='111'!$L$11,OR($N1499=$Q$7,$O1499=$Q$7)),"x","")</f>
        <v/>
      </c>
      <c r="R1499" s="47" t="str">
        <f>IF(AND($N1499=$Q$7,$B1499&lt;'111'!$L$11),"x","")</f>
        <v/>
      </c>
      <c r="S1499" s="47" t="str">
        <f>IF(AND($O1499=$Q$7,$B1499&lt;'111'!$L$11),"x","")</f>
        <v>x</v>
      </c>
    </row>
    <row r="1500" spans="1:19" ht="15.75" customHeight="1">
      <c r="A1500" s="152" t="str">
        <f>IF(B1500&lt;&gt;"",IF(AND(B1500='IN-TC'!$S$4,OR(TH!N1500="1111",TH!O1500="1111")),TH!D1500,""),"")</f>
        <v/>
      </c>
      <c r="B1500" s="34">
        <f t="shared" si="53"/>
        <v>9</v>
      </c>
      <c r="C1500" s="35">
        <f t="shared" si="54"/>
        <v>42622</v>
      </c>
      <c r="D1500" s="212" t="s">
        <v>886</v>
      </c>
      <c r="E1500" s="35">
        <v>42622</v>
      </c>
      <c r="F1500" s="144" t="s">
        <v>243</v>
      </c>
      <c r="G1500" s="191" t="s">
        <v>206</v>
      </c>
      <c r="H1500" s="198" t="s">
        <v>824</v>
      </c>
      <c r="I1500" s="186"/>
      <c r="J1500" s="186"/>
      <c r="K1500" s="185"/>
      <c r="L1500" s="186"/>
      <c r="M1500" s="36">
        <v>131000000</v>
      </c>
      <c r="N1500" s="37" t="s">
        <v>8</v>
      </c>
      <c r="O1500" s="37" t="s">
        <v>34</v>
      </c>
      <c r="P1500" s="47" t="str">
        <f>IF(AND('331-CT'!$F$5=TH!H1500,OR(N1500="331",O1500="331")),"x","")</f>
        <v/>
      </c>
      <c r="Q1500" s="47" t="str">
        <f>IF(AND(B1500='111'!$L$11,OR($N1500=$Q$7,$O1500=$Q$7)),"x","")</f>
        <v/>
      </c>
      <c r="R1500" s="47" t="str">
        <f>IF(AND($N1500=$Q$7,$B1500&lt;'111'!$L$11),"x","")</f>
        <v/>
      </c>
      <c r="S1500" s="47" t="str">
        <f>IF(AND($O1500=$Q$7,$B1500&lt;'111'!$L$11),"x","")</f>
        <v>x</v>
      </c>
    </row>
    <row r="1501" spans="1:19" ht="15.75" customHeight="1">
      <c r="A1501" s="152" t="str">
        <f>IF(B1501&lt;&gt;"",IF(AND(B1501='IN-TC'!$S$4,OR(TH!N1501="1111",TH!O1501="1111")),TH!D1501,""),"")</f>
        <v/>
      </c>
      <c r="B1501" s="34">
        <f t="shared" si="53"/>
        <v>9</v>
      </c>
      <c r="C1501" s="35">
        <f t="shared" si="54"/>
        <v>42622</v>
      </c>
      <c r="D1501" s="212" t="s">
        <v>887</v>
      </c>
      <c r="E1501" s="35">
        <v>42622</v>
      </c>
      <c r="F1501" s="144" t="s">
        <v>1398</v>
      </c>
      <c r="G1501" s="191" t="s">
        <v>206</v>
      </c>
      <c r="H1501" s="198" t="s">
        <v>1044</v>
      </c>
      <c r="I1501" s="186"/>
      <c r="J1501" s="186"/>
      <c r="K1501" s="185"/>
      <c r="L1501" s="186"/>
      <c r="M1501" s="36">
        <v>103990000</v>
      </c>
      <c r="N1501" s="37" t="s">
        <v>8</v>
      </c>
      <c r="O1501" s="37" t="s">
        <v>34</v>
      </c>
      <c r="P1501" s="47" t="str">
        <f>IF(AND('331-CT'!$F$5=TH!H1501,OR(N1501="331",O1501="331")),"x","")</f>
        <v/>
      </c>
      <c r="Q1501" s="47" t="str">
        <f>IF(AND(B1501='111'!$L$11,OR($N1501=$Q$7,$O1501=$Q$7)),"x","")</f>
        <v/>
      </c>
      <c r="R1501" s="47" t="str">
        <f>IF(AND($N1501=$Q$7,$B1501&lt;'111'!$L$11),"x","")</f>
        <v/>
      </c>
      <c r="S1501" s="47" t="str">
        <f>IF(AND($O1501=$Q$7,$B1501&lt;'111'!$L$11),"x","")</f>
        <v>x</v>
      </c>
    </row>
    <row r="1502" spans="1:19" ht="15.75" customHeight="1">
      <c r="A1502" s="152" t="str">
        <f>IF(B1502&lt;&gt;"",IF(AND(B1502='IN-TC'!$S$4,OR(TH!N1502="1111",TH!O1502="1111")),TH!D1502,""),"")</f>
        <v/>
      </c>
      <c r="B1502" s="34">
        <f t="shared" si="53"/>
        <v>9</v>
      </c>
      <c r="C1502" s="35">
        <f t="shared" si="54"/>
        <v>42622</v>
      </c>
      <c r="D1502" s="212" t="s">
        <v>888</v>
      </c>
      <c r="E1502" s="35">
        <v>42622</v>
      </c>
      <c r="F1502" s="144" t="s">
        <v>1196</v>
      </c>
      <c r="G1502" s="191" t="s">
        <v>206</v>
      </c>
      <c r="H1502" s="198" t="s">
        <v>1420</v>
      </c>
      <c r="I1502" s="186"/>
      <c r="J1502" s="186"/>
      <c r="K1502" s="185"/>
      <c r="L1502" s="186"/>
      <c r="M1502" s="36">
        <v>200000000</v>
      </c>
      <c r="N1502" s="37" t="s">
        <v>8</v>
      </c>
      <c r="O1502" s="37" t="s">
        <v>34</v>
      </c>
      <c r="P1502" s="47" t="str">
        <f>IF(AND('331-CT'!$F$5=TH!H1502,OR(N1502="331",O1502="331")),"x","")</f>
        <v/>
      </c>
      <c r="Q1502" s="47" t="str">
        <f>IF(AND(B1502='111'!$L$11,OR($N1502=$Q$7,$O1502=$Q$7)),"x","")</f>
        <v/>
      </c>
      <c r="R1502" s="47" t="str">
        <f>IF(AND($N1502=$Q$7,$B1502&lt;'111'!$L$11),"x","")</f>
        <v/>
      </c>
      <c r="S1502" s="47" t="str">
        <f>IF(AND($O1502=$Q$7,$B1502&lt;'111'!$L$11),"x","")</f>
        <v>x</v>
      </c>
    </row>
    <row r="1503" spans="1:19" ht="15.75" customHeight="1">
      <c r="A1503" s="152" t="str">
        <f>IF(B1503&lt;&gt;"",IF(AND(B1503='IN-TC'!$S$4,OR(TH!N1503="1111",TH!O1503="1111")),TH!D1503,""),"")</f>
        <v/>
      </c>
      <c r="B1503" s="34">
        <f t="shared" si="53"/>
        <v>9</v>
      </c>
      <c r="C1503" s="35">
        <f t="shared" si="54"/>
        <v>42622</v>
      </c>
      <c r="D1503" s="212" t="s">
        <v>889</v>
      </c>
      <c r="E1503" s="35">
        <v>42622</v>
      </c>
      <c r="F1503" s="144" t="s">
        <v>1197</v>
      </c>
      <c r="G1503" s="191" t="s">
        <v>206</v>
      </c>
      <c r="H1503" s="198" t="s">
        <v>1422</v>
      </c>
      <c r="I1503" s="186"/>
      <c r="J1503" s="186"/>
      <c r="K1503" s="185"/>
      <c r="L1503" s="186"/>
      <c r="M1503" s="36">
        <v>100000000</v>
      </c>
      <c r="N1503" s="37" t="s">
        <v>8</v>
      </c>
      <c r="O1503" s="37" t="s">
        <v>34</v>
      </c>
      <c r="P1503" s="47" t="str">
        <f>IF(AND('331-CT'!$F$5=TH!H1503,OR(N1503="331",O1503="331")),"x","")</f>
        <v/>
      </c>
      <c r="Q1503" s="47" t="str">
        <f>IF(AND(B1503='111'!$L$11,OR($N1503=$Q$7,$O1503=$Q$7)),"x","")</f>
        <v/>
      </c>
      <c r="R1503" s="47" t="str">
        <f>IF(AND($N1503=$Q$7,$B1503&lt;'111'!$L$11),"x","")</f>
        <v/>
      </c>
      <c r="S1503" s="47" t="str">
        <f>IF(AND($O1503=$Q$7,$B1503&lt;'111'!$L$11),"x","")</f>
        <v>x</v>
      </c>
    </row>
    <row r="1504" spans="1:19" ht="15.75" customHeight="1">
      <c r="A1504" s="152" t="str">
        <f>IF(B1504&lt;&gt;"",IF(AND(B1504='IN-TC'!$S$4,OR(TH!N1504="1111",TH!O1504="1111")),TH!D1504,""),"")</f>
        <v/>
      </c>
      <c r="B1504" s="34">
        <f t="shared" si="53"/>
        <v>9</v>
      </c>
      <c r="C1504" s="35">
        <f t="shared" si="54"/>
        <v>42622</v>
      </c>
      <c r="D1504" s="212" t="s">
        <v>890</v>
      </c>
      <c r="E1504" s="35">
        <v>42622</v>
      </c>
      <c r="F1504" s="144" t="s">
        <v>1198</v>
      </c>
      <c r="G1504" s="191" t="s">
        <v>220</v>
      </c>
      <c r="H1504" s="198"/>
      <c r="I1504" s="186"/>
      <c r="J1504" s="186"/>
      <c r="K1504" s="185"/>
      <c r="L1504" s="186"/>
      <c r="M1504" s="36">
        <v>6687000</v>
      </c>
      <c r="N1504" s="37"/>
      <c r="O1504" s="37" t="s">
        <v>34</v>
      </c>
      <c r="P1504" s="47" t="str">
        <f>IF(AND('331-CT'!$F$5=TH!H1504,OR(N1504="331",O1504="331")),"x","")</f>
        <v/>
      </c>
      <c r="Q1504" s="47" t="str">
        <f>IF(AND(B1504='111'!$L$11,OR($N1504=$Q$7,$O1504=$Q$7)),"x","")</f>
        <v/>
      </c>
      <c r="R1504" s="47" t="str">
        <f>IF(AND($N1504=$Q$7,$B1504&lt;'111'!$L$11),"x","")</f>
        <v/>
      </c>
      <c r="S1504" s="47" t="str">
        <f>IF(AND($O1504=$Q$7,$B1504&lt;'111'!$L$11),"x","")</f>
        <v>x</v>
      </c>
    </row>
    <row r="1505" spans="1:19" ht="15.75" customHeight="1">
      <c r="A1505" s="152" t="str">
        <f>IF(B1505&lt;&gt;"",IF(AND(B1505='IN-TC'!$S$4,OR(TH!N1505="1111",TH!O1505="1111")),TH!D1505,""),"")</f>
        <v/>
      </c>
      <c r="B1505" s="34">
        <f t="shared" si="53"/>
        <v>9</v>
      </c>
      <c r="C1505" s="35">
        <f t="shared" si="54"/>
        <v>42622</v>
      </c>
      <c r="D1505" s="212" t="s">
        <v>936</v>
      </c>
      <c r="E1505" s="35">
        <v>42622</v>
      </c>
      <c r="F1505" s="144" t="s">
        <v>159</v>
      </c>
      <c r="G1505" s="191" t="s">
        <v>115</v>
      </c>
      <c r="H1505" s="198"/>
      <c r="I1505" s="186"/>
      <c r="J1505" s="186"/>
      <c r="K1505" s="185"/>
      <c r="L1505" s="186"/>
      <c r="M1505" s="36">
        <v>32405000</v>
      </c>
      <c r="N1505" s="37" t="s">
        <v>34</v>
      </c>
      <c r="O1505" s="37"/>
      <c r="P1505" s="47" t="str">
        <f>IF(AND('331-CT'!$F$5=TH!H1505,OR(N1505="331",O1505="331")),"x","")</f>
        <v/>
      </c>
      <c r="Q1505" s="47" t="str">
        <f>IF(AND(B1505='111'!$L$11,OR($N1505=$Q$7,$O1505=$Q$7)),"x","")</f>
        <v/>
      </c>
      <c r="R1505" s="47" t="str">
        <f>IF(AND($N1505=$Q$7,$B1505&lt;'111'!$L$11),"x","")</f>
        <v>x</v>
      </c>
      <c r="S1505" s="47" t="str">
        <f>IF(AND($O1505=$Q$7,$B1505&lt;'111'!$L$11),"x","")</f>
        <v/>
      </c>
    </row>
    <row r="1506" spans="1:19" ht="15.75" customHeight="1">
      <c r="A1506" s="152" t="str">
        <f>IF(B1506&lt;&gt;"",IF(AND(B1506='IN-TC'!$S$4,OR(TH!N1506="1111",TH!O1506="1111")),TH!D1506,""),"")</f>
        <v/>
      </c>
      <c r="B1506" s="34">
        <f t="shared" si="53"/>
        <v>9</v>
      </c>
      <c r="C1506" s="35">
        <f t="shared" si="54"/>
        <v>42622</v>
      </c>
      <c r="D1506" s="212" t="s">
        <v>891</v>
      </c>
      <c r="E1506" s="35">
        <v>42622</v>
      </c>
      <c r="F1506" s="144" t="s">
        <v>1199</v>
      </c>
      <c r="G1506" s="191" t="s">
        <v>105</v>
      </c>
      <c r="H1506" s="198" t="s">
        <v>1430</v>
      </c>
      <c r="I1506" s="186"/>
      <c r="J1506" s="186"/>
      <c r="K1506" s="186">
        <v>20000</v>
      </c>
      <c r="L1506" s="186">
        <v>22310</v>
      </c>
      <c r="M1506" s="36">
        <f>K1506*L1506</f>
        <v>446200000</v>
      </c>
      <c r="N1506" s="37" t="s">
        <v>812</v>
      </c>
      <c r="O1506" s="37" t="s">
        <v>34</v>
      </c>
      <c r="P1506" s="47" t="str">
        <f>IF(AND('331-CT'!$F$5=TH!H1506,OR(N1506="331",O1506="331")),"x","")</f>
        <v/>
      </c>
      <c r="Q1506" s="47" t="str">
        <f>IF(AND(B1506='111'!$L$11,OR($N1506=$Q$7,$O1506=$Q$7)),"x","")</f>
        <v/>
      </c>
      <c r="R1506" s="47" t="str">
        <f>IF(AND($N1506=$Q$7,$B1506&lt;'111'!$L$11),"x","")</f>
        <v/>
      </c>
      <c r="S1506" s="47" t="str">
        <f>IF(AND($O1506=$Q$7,$B1506&lt;'111'!$L$11),"x","")</f>
        <v>x</v>
      </c>
    </row>
    <row r="1507" spans="1:19" ht="15.75" customHeight="1">
      <c r="A1507" s="152" t="str">
        <f>IF(B1507&lt;&gt;"",IF(AND(B1507='IN-TC'!$S$4,OR(TH!N1507="1111",TH!O1507="1111")),TH!D1507,""),"")</f>
        <v/>
      </c>
      <c r="B1507" s="34">
        <f t="shared" si="53"/>
        <v>9</v>
      </c>
      <c r="C1507" s="35">
        <f t="shared" si="54"/>
        <v>42622</v>
      </c>
      <c r="D1507" s="212" t="s">
        <v>892</v>
      </c>
      <c r="E1507" s="35">
        <v>42622</v>
      </c>
      <c r="F1507" s="144" t="s">
        <v>1200</v>
      </c>
      <c r="G1507" s="191"/>
      <c r="H1507" s="198"/>
      <c r="I1507" s="186"/>
      <c r="J1507" s="186"/>
      <c r="K1507" s="186">
        <v>2000</v>
      </c>
      <c r="L1507" s="186">
        <v>22310</v>
      </c>
      <c r="M1507" s="36">
        <f>K1507*L1507</f>
        <v>44620000</v>
      </c>
      <c r="N1507" s="37"/>
      <c r="O1507" s="37" t="s">
        <v>34</v>
      </c>
      <c r="P1507" s="47" t="str">
        <f>IF(AND('331-CT'!$F$5=TH!H1507,OR(N1507="331",O1507="331")),"x","")</f>
        <v/>
      </c>
      <c r="Q1507" s="47" t="str">
        <f>IF(AND(B1507='111'!$L$11,OR($N1507=$Q$7,$O1507=$Q$7)),"x","")</f>
        <v/>
      </c>
      <c r="R1507" s="47" t="str">
        <f>IF(AND($N1507=$Q$7,$B1507&lt;'111'!$L$11),"x","")</f>
        <v/>
      </c>
      <c r="S1507" s="47" t="str">
        <f>IF(AND($O1507=$Q$7,$B1507&lt;'111'!$L$11),"x","")</f>
        <v>x</v>
      </c>
    </row>
    <row r="1508" spans="1:19" ht="15.75" customHeight="1">
      <c r="A1508" s="152" t="str">
        <f>IF(B1508&lt;&gt;"",IF(AND(B1508='IN-TC'!$S$4,OR(TH!N1508="1111",TH!O1508="1111")),TH!D1508,""),"")</f>
        <v/>
      </c>
      <c r="B1508" s="34">
        <f t="shared" si="53"/>
        <v>9</v>
      </c>
      <c r="C1508" s="35">
        <f t="shared" si="54"/>
        <v>42622</v>
      </c>
      <c r="D1508" s="212" t="s">
        <v>893</v>
      </c>
      <c r="E1508" s="35">
        <v>42622</v>
      </c>
      <c r="F1508" s="144" t="s">
        <v>1201</v>
      </c>
      <c r="G1508" s="191" t="s">
        <v>113</v>
      </c>
      <c r="H1508" s="198" t="s">
        <v>1431</v>
      </c>
      <c r="I1508" s="186"/>
      <c r="J1508" s="186"/>
      <c r="K1508" s="185"/>
      <c r="L1508" s="186"/>
      <c r="M1508" s="36">
        <v>20000000</v>
      </c>
      <c r="N1508" s="37"/>
      <c r="O1508" s="37" t="s">
        <v>34</v>
      </c>
      <c r="P1508" s="47" t="str">
        <f>IF(AND('331-CT'!$F$5=TH!H1508,OR(N1508="331",O1508="331")),"x","")</f>
        <v/>
      </c>
      <c r="Q1508" s="47" t="str">
        <f>IF(AND(B1508='111'!$L$11,OR($N1508=$Q$7,$O1508=$Q$7)),"x","")</f>
        <v/>
      </c>
      <c r="R1508" s="47" t="str">
        <f>IF(AND($N1508=$Q$7,$B1508&lt;'111'!$L$11),"x","")</f>
        <v/>
      </c>
      <c r="S1508" s="47" t="str">
        <f>IF(AND($O1508=$Q$7,$B1508&lt;'111'!$L$11),"x","")</f>
        <v>x</v>
      </c>
    </row>
    <row r="1509" spans="1:19" ht="15.75" customHeight="1">
      <c r="A1509" s="152" t="str">
        <f>IF(B1509&lt;&gt;"",IF(AND(B1509='IN-TC'!$S$4,OR(TH!N1509="1111",TH!O1509="1111")),TH!D1509,""),"")</f>
        <v/>
      </c>
      <c r="B1509" s="34">
        <f t="shared" si="53"/>
        <v>9</v>
      </c>
      <c r="C1509" s="35">
        <f t="shared" si="54"/>
        <v>42622</v>
      </c>
      <c r="D1509" s="212" t="s">
        <v>894</v>
      </c>
      <c r="E1509" s="35">
        <v>42622</v>
      </c>
      <c r="F1509" s="144" t="s">
        <v>1308</v>
      </c>
      <c r="G1509" s="38" t="s">
        <v>203</v>
      </c>
      <c r="H1509" s="198" t="s">
        <v>1413</v>
      </c>
      <c r="I1509" s="186"/>
      <c r="J1509" s="186"/>
      <c r="K1509" s="185"/>
      <c r="L1509" s="186"/>
      <c r="M1509" s="36">
        <v>18000000</v>
      </c>
      <c r="N1509" s="37" t="s">
        <v>814</v>
      </c>
      <c r="O1509" s="37" t="s">
        <v>34</v>
      </c>
      <c r="P1509" s="47" t="str">
        <f>IF(AND('331-CT'!$F$5=TH!H1509,OR(N1509="331",O1509="331")),"x","")</f>
        <v/>
      </c>
      <c r="Q1509" s="47" t="str">
        <f>IF(AND(B1509='111'!$L$11,OR($N1509=$Q$7,$O1509=$Q$7)),"x","")</f>
        <v/>
      </c>
      <c r="R1509" s="47" t="str">
        <f>IF(AND($N1509=$Q$7,$B1509&lt;'111'!$L$11),"x","")</f>
        <v/>
      </c>
      <c r="S1509" s="47" t="str">
        <f>IF(AND($O1509=$Q$7,$B1509&lt;'111'!$L$11),"x","")</f>
        <v>x</v>
      </c>
    </row>
    <row r="1510" spans="1:19" ht="15.75" customHeight="1">
      <c r="A1510" s="152" t="str">
        <f>IF(B1510&lt;&gt;"",IF(AND(B1510='IN-TC'!$S$4,OR(TH!N1510="1111",TH!O1510="1111")),TH!D1510,""),"")</f>
        <v/>
      </c>
      <c r="B1510" s="34">
        <f t="shared" si="53"/>
        <v>9</v>
      </c>
      <c r="C1510" s="35">
        <f t="shared" si="54"/>
        <v>42622</v>
      </c>
      <c r="D1510" s="212" t="s">
        <v>895</v>
      </c>
      <c r="E1510" s="35">
        <v>42622</v>
      </c>
      <c r="F1510" s="144" t="s">
        <v>1202</v>
      </c>
      <c r="G1510" s="38" t="s">
        <v>203</v>
      </c>
      <c r="H1510" s="198" t="s">
        <v>1414</v>
      </c>
      <c r="I1510" s="186"/>
      <c r="J1510" s="186"/>
      <c r="K1510" s="185"/>
      <c r="L1510" s="186"/>
      <c r="M1510" s="36">
        <v>3000000</v>
      </c>
      <c r="N1510" s="37" t="s">
        <v>814</v>
      </c>
      <c r="O1510" s="37" t="s">
        <v>34</v>
      </c>
      <c r="P1510" s="47" t="str">
        <f>IF(AND('331-CT'!$F$5=TH!H1510,OR(N1510="331",O1510="331")),"x","")</f>
        <v/>
      </c>
      <c r="Q1510" s="47" t="str">
        <f>IF(AND(B1510='111'!$L$11,OR($N1510=$Q$7,$O1510=$Q$7)),"x","")</f>
        <v/>
      </c>
      <c r="R1510" s="47" t="str">
        <f>IF(AND($N1510=$Q$7,$B1510&lt;'111'!$L$11),"x","")</f>
        <v/>
      </c>
      <c r="S1510" s="47" t="str">
        <f>IF(AND($O1510=$Q$7,$B1510&lt;'111'!$L$11),"x","")</f>
        <v>x</v>
      </c>
    </row>
    <row r="1511" spans="1:19" ht="15.75" customHeight="1">
      <c r="A1511" s="152" t="str">
        <f>IF(B1511&lt;&gt;"",IF(AND(B1511='IN-TC'!$S$4,OR(TH!N1511="1111",TH!O1511="1111")),TH!D1511,""),"")</f>
        <v/>
      </c>
      <c r="B1511" s="34">
        <f t="shared" si="53"/>
        <v>9</v>
      </c>
      <c r="C1511" s="35">
        <f t="shared" si="54"/>
        <v>42622</v>
      </c>
      <c r="D1511" s="212"/>
      <c r="E1511" s="35">
        <v>42622</v>
      </c>
      <c r="F1511" s="144" t="s">
        <v>1451</v>
      </c>
      <c r="G1511" s="191"/>
      <c r="H1511" s="198" t="s">
        <v>849</v>
      </c>
      <c r="I1511" s="186">
        <v>12496</v>
      </c>
      <c r="J1511" s="186">
        <v>14000</v>
      </c>
      <c r="K1511" s="185"/>
      <c r="L1511" s="186"/>
      <c r="M1511" s="36">
        <f>ROUND(I1511*J1511,0)</f>
        <v>174944000</v>
      </c>
      <c r="N1511" s="37" t="s">
        <v>8</v>
      </c>
      <c r="O1511" s="37" t="s">
        <v>1443</v>
      </c>
      <c r="P1511" s="47" t="str">
        <f>IF(AND('331-CT'!$F$5=TH!H1511,OR(N1511="331",O1511="331")),"x","")</f>
        <v/>
      </c>
      <c r="Q1511" s="47" t="str">
        <f>IF(AND(B1511='111'!$L$11,OR($N1511=$Q$7,$O1511=$Q$7)),"x","")</f>
        <v/>
      </c>
      <c r="R1511" s="47" t="str">
        <f>IF(AND($N1511=$Q$7,$B1511&lt;'111'!$L$11),"x","")</f>
        <v/>
      </c>
      <c r="S1511" s="47" t="str">
        <f>IF(AND($O1511=$Q$7,$B1511&lt;'111'!$L$11),"x","")</f>
        <v/>
      </c>
    </row>
    <row r="1512" spans="1:19" ht="15.75" customHeight="1">
      <c r="A1512" s="152" t="str">
        <f>IF(B1512&lt;&gt;"",IF(AND(B1512='IN-TC'!$S$4,OR(TH!N1512="1111",TH!O1512="1111")),TH!D1512,""),"")</f>
        <v/>
      </c>
      <c r="B1512" s="34">
        <f t="shared" si="53"/>
        <v>9</v>
      </c>
      <c r="C1512" s="35">
        <f t="shared" si="54"/>
        <v>42622</v>
      </c>
      <c r="D1512" s="212"/>
      <c r="E1512" s="35">
        <v>42622</v>
      </c>
      <c r="F1512" s="144" t="s">
        <v>1452</v>
      </c>
      <c r="G1512" s="191"/>
      <c r="H1512" s="198" t="s">
        <v>849</v>
      </c>
      <c r="I1512" s="186">
        <v>58</v>
      </c>
      <c r="J1512" s="186">
        <v>102000</v>
      </c>
      <c r="K1512" s="185"/>
      <c r="L1512" s="186"/>
      <c r="M1512" s="36">
        <f>ROUND(I1512*J1512,0)</f>
        <v>5916000</v>
      </c>
      <c r="N1512" s="37" t="s">
        <v>8</v>
      </c>
      <c r="O1512" s="37" t="s">
        <v>1443</v>
      </c>
      <c r="P1512" s="47" t="str">
        <f>IF(AND('331-CT'!$F$5=TH!H1512,OR(N1512="331",O1512="331")),"x","")</f>
        <v/>
      </c>
      <c r="Q1512" s="47" t="str">
        <f>IF(AND(B1512='111'!$L$11,OR($N1512=$Q$7,$O1512=$Q$7)),"x","")</f>
        <v/>
      </c>
      <c r="R1512" s="47" t="str">
        <f>IF(AND($N1512=$Q$7,$B1512&lt;'111'!$L$11),"x","")</f>
        <v/>
      </c>
      <c r="S1512" s="47" t="str">
        <f>IF(AND($O1512=$Q$7,$B1512&lt;'111'!$L$11),"x","")</f>
        <v/>
      </c>
    </row>
    <row r="1513" spans="1:19" ht="15.75" customHeight="1">
      <c r="A1513" s="152" t="str">
        <f>IF(B1513&lt;&gt;"",IF(AND(B1513='IN-TC'!$S$4,OR(TH!N1513="1111",TH!O1513="1111")),TH!D1513,""),"")</f>
        <v/>
      </c>
      <c r="B1513" s="34">
        <f t="shared" si="53"/>
        <v>9</v>
      </c>
      <c r="C1513" s="35">
        <f t="shared" si="54"/>
        <v>42622</v>
      </c>
      <c r="D1513" s="212"/>
      <c r="E1513" s="35">
        <v>42622</v>
      </c>
      <c r="F1513" s="144" t="s">
        <v>1453</v>
      </c>
      <c r="G1513" s="191"/>
      <c r="H1513" s="198" t="s">
        <v>849</v>
      </c>
      <c r="I1513" s="186">
        <v>3939</v>
      </c>
      <c r="J1513" s="186">
        <v>61000</v>
      </c>
      <c r="K1513" s="185"/>
      <c r="L1513" s="186"/>
      <c r="M1513" s="36">
        <f>ROUND(I1513*J1513,0)</f>
        <v>240279000</v>
      </c>
      <c r="N1513" s="37" t="s">
        <v>8</v>
      </c>
      <c r="O1513" s="37" t="s">
        <v>1443</v>
      </c>
      <c r="P1513" s="47" t="str">
        <f>IF(AND('331-CT'!$F$5=TH!H1513,OR(N1513="331",O1513="331")),"x","")</f>
        <v/>
      </c>
      <c r="Q1513" s="47" t="str">
        <f>IF(AND(B1513='111'!$L$11,OR($N1513=$Q$7,$O1513=$Q$7)),"x","")</f>
        <v/>
      </c>
      <c r="R1513" s="47" t="str">
        <f>IF(AND($N1513=$Q$7,$B1513&lt;'111'!$L$11),"x","")</f>
        <v/>
      </c>
      <c r="S1513" s="47" t="str">
        <f>IF(AND($O1513=$Q$7,$B1513&lt;'111'!$L$11),"x","")</f>
        <v/>
      </c>
    </row>
    <row r="1514" spans="1:19" ht="15.75" customHeight="1">
      <c r="A1514" s="152" t="str">
        <f>IF(B1514&lt;&gt;"",IF(AND(B1514='IN-TC'!$S$4,OR(TH!N1514="1111",TH!O1514="1111")),TH!D1514,""),"")</f>
        <v/>
      </c>
      <c r="B1514" s="34">
        <f t="shared" si="53"/>
        <v>9</v>
      </c>
      <c r="C1514" s="35">
        <f t="shared" si="54"/>
        <v>42622</v>
      </c>
      <c r="D1514" s="212"/>
      <c r="E1514" s="35">
        <v>42622</v>
      </c>
      <c r="F1514" s="144" t="s">
        <v>1467</v>
      </c>
      <c r="G1514" s="191"/>
      <c r="H1514" s="198" t="s">
        <v>1123</v>
      </c>
      <c r="I1514" s="186">
        <v>1200</v>
      </c>
      <c r="J1514" s="186">
        <v>12000</v>
      </c>
      <c r="K1514" s="185"/>
      <c r="L1514" s="186"/>
      <c r="M1514" s="36">
        <f>ROUND(I1514*J1514,-3)</f>
        <v>14400000</v>
      </c>
      <c r="N1514" s="37" t="s">
        <v>1443</v>
      </c>
      <c r="O1514" s="37" t="s">
        <v>8</v>
      </c>
      <c r="P1514" s="47" t="str">
        <f>IF(AND('331-CT'!$F$5=TH!H1514,OR(N1514="331",O1514="331")),"x","")</f>
        <v/>
      </c>
      <c r="Q1514" s="47" t="str">
        <f>IF(AND(B1514='111'!$L$11,OR($N1514=$Q$7,$O1514=$Q$7)),"x","")</f>
        <v/>
      </c>
      <c r="R1514" s="47" t="str">
        <f>IF(AND($N1514=$Q$7,$B1514&lt;'111'!$L$11),"x","")</f>
        <v/>
      </c>
      <c r="S1514" s="47" t="str">
        <f>IF(AND($O1514=$Q$7,$B1514&lt;'111'!$L$11),"x","")</f>
        <v/>
      </c>
    </row>
    <row r="1515" spans="1:19" ht="15.75" customHeight="1">
      <c r="A1515" s="152" t="str">
        <f>IF(B1515&lt;&gt;"",IF(AND(B1515='IN-TC'!$S$4,OR(TH!N1515="1111",TH!O1515="1111")),TH!D1515,""),"")</f>
        <v/>
      </c>
      <c r="B1515" s="34">
        <f t="shared" si="53"/>
        <v>9</v>
      </c>
      <c r="C1515" s="35">
        <f t="shared" si="54"/>
        <v>42623</v>
      </c>
      <c r="D1515" s="212" t="s">
        <v>896</v>
      </c>
      <c r="E1515" s="35">
        <v>42623</v>
      </c>
      <c r="F1515" s="144" t="s">
        <v>1203</v>
      </c>
      <c r="G1515" s="191" t="s">
        <v>207</v>
      </c>
      <c r="H1515" s="198"/>
      <c r="I1515" s="186"/>
      <c r="J1515" s="186"/>
      <c r="K1515" s="185"/>
      <c r="L1515" s="186"/>
      <c r="M1515" s="36">
        <v>500000</v>
      </c>
      <c r="N1515" s="37"/>
      <c r="O1515" s="37" t="s">
        <v>34</v>
      </c>
      <c r="P1515" s="47" t="str">
        <f>IF(AND('331-CT'!$F$5=TH!H1515,OR(N1515="331",O1515="331")),"x","")</f>
        <v/>
      </c>
      <c r="Q1515" s="47" t="str">
        <f>IF(AND(B1515='111'!$L$11,OR($N1515=$Q$7,$O1515=$Q$7)),"x","")</f>
        <v/>
      </c>
      <c r="R1515" s="47" t="str">
        <f>IF(AND($N1515=$Q$7,$B1515&lt;'111'!$L$11),"x","")</f>
        <v/>
      </c>
      <c r="S1515" s="47" t="str">
        <f>IF(AND($O1515=$Q$7,$B1515&lt;'111'!$L$11),"x","")</f>
        <v>x</v>
      </c>
    </row>
    <row r="1516" spans="1:19" ht="15.75" customHeight="1">
      <c r="A1516" s="152" t="str">
        <f>IF(B1516&lt;&gt;"",IF(AND(B1516='IN-TC'!$S$4,OR(TH!N1516="1111",TH!O1516="1111")),TH!D1516,""),"")</f>
        <v/>
      </c>
      <c r="B1516" s="34">
        <f t="shared" si="53"/>
        <v>9</v>
      </c>
      <c r="C1516" s="35">
        <f t="shared" si="54"/>
        <v>42623</v>
      </c>
      <c r="D1516" s="212" t="s">
        <v>897</v>
      </c>
      <c r="E1516" s="35">
        <v>42623</v>
      </c>
      <c r="F1516" s="144" t="s">
        <v>1272</v>
      </c>
      <c r="G1516" s="191"/>
      <c r="H1516" s="198"/>
      <c r="I1516" s="186"/>
      <c r="J1516" s="186"/>
      <c r="K1516" s="185"/>
      <c r="L1516" s="186"/>
      <c r="M1516" s="36">
        <v>110000</v>
      </c>
      <c r="N1516" s="37"/>
      <c r="O1516" s="37" t="s">
        <v>34</v>
      </c>
      <c r="P1516" s="47" t="str">
        <f>IF(AND('331-CT'!$F$5=TH!H1516,OR(N1516="331",O1516="331")),"x","")</f>
        <v/>
      </c>
      <c r="Q1516" s="47" t="str">
        <f>IF(AND(B1516='111'!$L$11,OR($N1516=$Q$7,$O1516=$Q$7)),"x","")</f>
        <v/>
      </c>
      <c r="R1516" s="47" t="str">
        <f>IF(AND($N1516=$Q$7,$B1516&lt;'111'!$L$11),"x","")</f>
        <v/>
      </c>
      <c r="S1516" s="47" t="str">
        <f>IF(AND($O1516=$Q$7,$B1516&lt;'111'!$L$11),"x","")</f>
        <v>x</v>
      </c>
    </row>
    <row r="1517" spans="1:19" ht="15.75" customHeight="1">
      <c r="A1517" s="152" t="str">
        <f>IF(B1517&lt;&gt;"",IF(AND(B1517='IN-TC'!$S$4,OR(TH!N1517="1111",TH!O1517="1111")),TH!D1517,""),"")</f>
        <v/>
      </c>
      <c r="B1517" s="34">
        <f t="shared" si="53"/>
        <v>9</v>
      </c>
      <c r="C1517" s="35">
        <f t="shared" si="54"/>
        <v>42623</v>
      </c>
      <c r="D1517" s="212"/>
      <c r="E1517" s="35">
        <v>42623</v>
      </c>
      <c r="F1517" s="144" t="s">
        <v>1469</v>
      </c>
      <c r="G1517" s="191"/>
      <c r="H1517" s="198" t="s">
        <v>1420</v>
      </c>
      <c r="I1517" s="186">
        <v>2668</v>
      </c>
      <c r="J1517" s="186">
        <v>22500</v>
      </c>
      <c r="K1517" s="185"/>
      <c r="L1517" s="186"/>
      <c r="M1517" s="36">
        <f t="shared" ref="M1517:M1522" si="55">ROUND(I1517*J1517,-3)</f>
        <v>60030000</v>
      </c>
      <c r="N1517" s="37" t="s">
        <v>1443</v>
      </c>
      <c r="O1517" s="37" t="s">
        <v>8</v>
      </c>
      <c r="P1517" s="47" t="str">
        <f>IF(AND('331-CT'!$F$5=TH!H1517,OR(N1517="331",O1517="331")),"x","")</f>
        <v/>
      </c>
      <c r="Q1517" s="47" t="str">
        <f>IF(AND(B1517='111'!$L$11,OR($N1517=$Q$7,$O1517=$Q$7)),"x","")</f>
        <v/>
      </c>
      <c r="R1517" s="47" t="str">
        <f>IF(AND($N1517=$Q$7,$B1517&lt;'111'!$L$11),"x","")</f>
        <v/>
      </c>
      <c r="S1517" s="47" t="str">
        <f>IF(AND($O1517=$Q$7,$B1517&lt;'111'!$L$11),"x","")</f>
        <v/>
      </c>
    </row>
    <row r="1518" spans="1:19" ht="15.75" customHeight="1">
      <c r="A1518" s="152" t="str">
        <f>IF(B1518&lt;&gt;"",IF(AND(B1518='IN-TC'!$S$4,OR(TH!N1518="1111",TH!O1518="1111")),TH!D1518,""),"")</f>
        <v/>
      </c>
      <c r="B1518" s="34">
        <f t="shared" si="53"/>
        <v>9</v>
      </c>
      <c r="C1518" s="35">
        <f t="shared" si="54"/>
        <v>42623</v>
      </c>
      <c r="D1518" s="212"/>
      <c r="E1518" s="35">
        <v>42623</v>
      </c>
      <c r="F1518" s="144" t="s">
        <v>1472</v>
      </c>
      <c r="G1518" s="191"/>
      <c r="H1518" s="198" t="s">
        <v>1420</v>
      </c>
      <c r="I1518" s="186">
        <v>379.5</v>
      </c>
      <c r="J1518" s="186">
        <v>22500</v>
      </c>
      <c r="K1518" s="185"/>
      <c r="L1518" s="186"/>
      <c r="M1518" s="36">
        <f t="shared" si="55"/>
        <v>8539000</v>
      </c>
      <c r="N1518" s="37" t="s">
        <v>1443</v>
      </c>
      <c r="O1518" s="37" t="s">
        <v>8</v>
      </c>
      <c r="P1518" s="47" t="str">
        <f>IF(AND('331-CT'!$F$5=TH!H1518,OR(N1518="331",O1518="331")),"x","")</f>
        <v/>
      </c>
      <c r="Q1518" s="47" t="str">
        <f>IF(AND(B1518='111'!$L$11,OR($N1518=$Q$7,$O1518=$Q$7)),"x","")</f>
        <v/>
      </c>
      <c r="R1518" s="47" t="str">
        <f>IF(AND($N1518=$Q$7,$B1518&lt;'111'!$L$11),"x","")</f>
        <v/>
      </c>
      <c r="S1518" s="47" t="str">
        <f>IF(AND($O1518=$Q$7,$B1518&lt;'111'!$L$11),"x","")</f>
        <v/>
      </c>
    </row>
    <row r="1519" spans="1:19" ht="15.75" customHeight="1">
      <c r="A1519" s="152" t="str">
        <f>IF(B1519&lt;&gt;"",IF(AND(B1519='IN-TC'!$S$4,OR(TH!N1519="1111",TH!O1519="1111")),TH!D1519,""),"")</f>
        <v/>
      </c>
      <c r="B1519" s="34">
        <f t="shared" si="53"/>
        <v>9</v>
      </c>
      <c r="C1519" s="35">
        <f t="shared" si="54"/>
        <v>42624</v>
      </c>
      <c r="D1519" s="212"/>
      <c r="E1519" s="35">
        <v>42624</v>
      </c>
      <c r="F1519" s="144" t="s">
        <v>1469</v>
      </c>
      <c r="G1519" s="191"/>
      <c r="H1519" s="198" t="s">
        <v>1420</v>
      </c>
      <c r="I1519" s="186">
        <v>2532</v>
      </c>
      <c r="J1519" s="186">
        <v>22500</v>
      </c>
      <c r="K1519" s="185"/>
      <c r="L1519" s="186"/>
      <c r="M1519" s="36">
        <f t="shared" si="55"/>
        <v>56970000</v>
      </c>
      <c r="N1519" s="37" t="s">
        <v>1443</v>
      </c>
      <c r="O1519" s="37" t="s">
        <v>8</v>
      </c>
      <c r="P1519" s="47" t="str">
        <f>IF(AND('331-CT'!$F$5=TH!H1519,OR(N1519="331",O1519="331")),"x","")</f>
        <v/>
      </c>
      <c r="Q1519" s="47" t="str">
        <f>IF(AND(B1519='111'!$L$11,OR($N1519=$Q$7,$O1519=$Q$7)),"x","")</f>
        <v/>
      </c>
      <c r="R1519" s="47" t="str">
        <f>IF(AND($N1519=$Q$7,$B1519&lt;'111'!$L$11),"x","")</f>
        <v/>
      </c>
      <c r="S1519" s="47" t="str">
        <f>IF(AND($O1519=$Q$7,$B1519&lt;'111'!$L$11),"x","")</f>
        <v/>
      </c>
    </row>
    <row r="1520" spans="1:19" ht="15.75" customHeight="1">
      <c r="A1520" s="152" t="str">
        <f>IF(B1520&lt;&gt;"",IF(AND(B1520='IN-TC'!$S$4,OR(TH!N1520="1111",TH!O1520="1111")),TH!D1520,""),"")</f>
        <v/>
      </c>
      <c r="B1520" s="34">
        <f t="shared" si="53"/>
        <v>9</v>
      </c>
      <c r="C1520" s="35">
        <f t="shared" si="54"/>
        <v>42624</v>
      </c>
      <c r="D1520" s="212"/>
      <c r="E1520" s="35">
        <v>42624</v>
      </c>
      <c r="F1520" s="144" t="s">
        <v>1469</v>
      </c>
      <c r="G1520" s="191"/>
      <c r="H1520" s="198" t="s">
        <v>1419</v>
      </c>
      <c r="I1520" s="186">
        <v>1844</v>
      </c>
      <c r="J1520" s="186">
        <v>19000</v>
      </c>
      <c r="K1520" s="185"/>
      <c r="L1520" s="186"/>
      <c r="M1520" s="36">
        <f t="shared" si="55"/>
        <v>35036000</v>
      </c>
      <c r="N1520" s="37" t="s">
        <v>1443</v>
      </c>
      <c r="O1520" s="37" t="s">
        <v>8</v>
      </c>
      <c r="P1520" s="47" t="str">
        <f>IF(AND('331-CT'!$F$5=TH!H1520,OR(N1520="331",O1520="331")),"x","")</f>
        <v/>
      </c>
      <c r="Q1520" s="47" t="str">
        <f>IF(AND(B1520='111'!$L$11,OR($N1520=$Q$7,$O1520=$Q$7)),"x","")</f>
        <v/>
      </c>
      <c r="R1520" s="47" t="str">
        <f>IF(AND($N1520=$Q$7,$B1520&lt;'111'!$L$11),"x","")</f>
        <v/>
      </c>
      <c r="S1520" s="47" t="str">
        <f>IF(AND($O1520=$Q$7,$B1520&lt;'111'!$L$11),"x","")</f>
        <v/>
      </c>
    </row>
    <row r="1521" spans="1:19" ht="15.75" customHeight="1">
      <c r="A1521" s="152" t="str">
        <f>IF(B1521&lt;&gt;"",IF(AND(B1521='IN-TC'!$S$4,OR(TH!N1521="1111",TH!O1521="1111")),TH!D1521,""),"")</f>
        <v/>
      </c>
      <c r="B1521" s="34">
        <f t="shared" si="53"/>
        <v>9</v>
      </c>
      <c r="C1521" s="35">
        <f t="shared" si="54"/>
        <v>42624</v>
      </c>
      <c r="D1521" s="212"/>
      <c r="E1521" s="35">
        <v>42624</v>
      </c>
      <c r="F1521" s="144" t="s">
        <v>1464</v>
      </c>
      <c r="G1521" s="191"/>
      <c r="H1521" s="198" t="s">
        <v>1419</v>
      </c>
      <c r="I1521" s="186">
        <v>252</v>
      </c>
      <c r="J1521" s="186">
        <v>19000</v>
      </c>
      <c r="K1521" s="185"/>
      <c r="L1521" s="186"/>
      <c r="M1521" s="36">
        <f t="shared" si="55"/>
        <v>4788000</v>
      </c>
      <c r="N1521" s="37" t="s">
        <v>1443</v>
      </c>
      <c r="O1521" s="37" t="s">
        <v>8</v>
      </c>
      <c r="P1521" s="47" t="str">
        <f>IF(AND('331-CT'!$F$5=TH!H1521,OR(N1521="331",O1521="331")),"x","")</f>
        <v/>
      </c>
      <c r="Q1521" s="47" t="str">
        <f>IF(AND(B1521='111'!$L$11,OR($N1521=$Q$7,$O1521=$Q$7)),"x","")</f>
        <v/>
      </c>
      <c r="R1521" s="47" t="str">
        <f>IF(AND($N1521=$Q$7,$B1521&lt;'111'!$L$11),"x","")</f>
        <v/>
      </c>
      <c r="S1521" s="47" t="str">
        <f>IF(AND($O1521=$Q$7,$B1521&lt;'111'!$L$11),"x","")</f>
        <v/>
      </c>
    </row>
    <row r="1522" spans="1:19" ht="15.75" customHeight="1">
      <c r="A1522" s="152" t="str">
        <f>IF(B1522&lt;&gt;"",IF(AND(B1522='IN-TC'!$S$4,OR(TH!N1522="1111",TH!O1522="1111")),TH!D1522,""),"")</f>
        <v/>
      </c>
      <c r="B1522" s="34">
        <f t="shared" si="53"/>
        <v>9</v>
      </c>
      <c r="C1522" s="35">
        <f t="shared" si="54"/>
        <v>42624</v>
      </c>
      <c r="D1522" s="212"/>
      <c r="E1522" s="35">
        <v>42624</v>
      </c>
      <c r="F1522" s="144" t="s">
        <v>1522</v>
      </c>
      <c r="G1522" s="191"/>
      <c r="H1522" s="198" t="s">
        <v>1419</v>
      </c>
      <c r="I1522" s="186">
        <v>12</v>
      </c>
      <c r="J1522" s="186">
        <v>15000</v>
      </c>
      <c r="K1522" s="185"/>
      <c r="L1522" s="186"/>
      <c r="M1522" s="36">
        <f t="shared" si="55"/>
        <v>180000</v>
      </c>
      <c r="N1522" s="37" t="s">
        <v>1443</v>
      </c>
      <c r="O1522" s="37" t="s">
        <v>8</v>
      </c>
      <c r="P1522" s="47" t="str">
        <f>IF(AND('331-CT'!$F$5=TH!H1522,OR(N1522="331",O1522="331")),"x","")</f>
        <v/>
      </c>
      <c r="Q1522" s="47" t="str">
        <f>IF(AND(B1522='111'!$L$11,OR($N1522=$Q$7,$O1522=$Q$7)),"x","")</f>
        <v/>
      </c>
      <c r="R1522" s="47" t="str">
        <f>IF(AND($N1522=$Q$7,$B1522&lt;'111'!$L$11),"x","")</f>
        <v/>
      </c>
      <c r="S1522" s="47" t="str">
        <f>IF(AND($O1522=$Q$7,$B1522&lt;'111'!$L$11),"x","")</f>
        <v/>
      </c>
    </row>
    <row r="1523" spans="1:19" ht="15.75" customHeight="1">
      <c r="A1523" s="152" t="str">
        <f>IF(B1523&lt;&gt;"",IF(AND(B1523='IN-TC'!$S$4,OR(TH!N1523="1111",TH!O1523="1111")),TH!D1523,""),"")</f>
        <v/>
      </c>
      <c r="B1523" s="34">
        <f t="shared" si="53"/>
        <v>9</v>
      </c>
      <c r="C1523" s="35">
        <f t="shared" si="54"/>
        <v>42625</v>
      </c>
      <c r="D1523" s="212" t="s">
        <v>898</v>
      </c>
      <c r="E1523" s="35">
        <v>42625</v>
      </c>
      <c r="F1523" s="144" t="s">
        <v>1204</v>
      </c>
      <c r="G1523" s="191" t="s">
        <v>110</v>
      </c>
      <c r="H1523" s="198"/>
      <c r="I1523" s="186"/>
      <c r="J1523" s="186"/>
      <c r="K1523" s="185"/>
      <c r="L1523" s="186"/>
      <c r="M1523" s="36">
        <v>3000000</v>
      </c>
      <c r="N1523" s="37"/>
      <c r="O1523" s="37" t="s">
        <v>34</v>
      </c>
      <c r="P1523" s="47" t="str">
        <f>IF(AND('331-CT'!$F$5=TH!H1523,OR(N1523="331",O1523="331")),"x","")</f>
        <v/>
      </c>
      <c r="Q1523" s="47" t="str">
        <f>IF(AND(B1523='111'!$L$11,OR($N1523=$Q$7,$O1523=$Q$7)),"x","")</f>
        <v/>
      </c>
      <c r="R1523" s="47" t="str">
        <f>IF(AND($N1523=$Q$7,$B1523&lt;'111'!$L$11),"x","")</f>
        <v/>
      </c>
      <c r="S1523" s="47" t="str">
        <f>IF(AND($O1523=$Q$7,$B1523&lt;'111'!$L$11),"x","")</f>
        <v>x</v>
      </c>
    </row>
    <row r="1524" spans="1:19" ht="15.75" customHeight="1">
      <c r="A1524" s="152" t="str">
        <f>IF(B1524&lt;&gt;"",IF(AND(B1524='IN-TC'!$S$4,OR(TH!N1524="1111",TH!O1524="1111")),TH!D1524,""),"")</f>
        <v/>
      </c>
      <c r="B1524" s="34">
        <f t="shared" si="53"/>
        <v>9</v>
      </c>
      <c r="C1524" s="35">
        <f t="shared" si="54"/>
        <v>42625</v>
      </c>
      <c r="D1524" s="212" t="s">
        <v>899</v>
      </c>
      <c r="E1524" s="35">
        <v>42625</v>
      </c>
      <c r="F1524" s="144" t="s">
        <v>1205</v>
      </c>
      <c r="G1524" s="191" t="s">
        <v>220</v>
      </c>
      <c r="H1524" s="198"/>
      <c r="I1524" s="186"/>
      <c r="J1524" s="186"/>
      <c r="K1524" s="185"/>
      <c r="L1524" s="186"/>
      <c r="M1524" s="36">
        <v>44622000</v>
      </c>
      <c r="N1524" s="37"/>
      <c r="O1524" s="37" t="s">
        <v>34</v>
      </c>
      <c r="P1524" s="47" t="str">
        <f>IF(AND('331-CT'!$F$5=TH!H1524,OR(N1524="331",O1524="331")),"x","")</f>
        <v/>
      </c>
      <c r="Q1524" s="47" t="str">
        <f>IF(AND(B1524='111'!$L$11,OR($N1524=$Q$7,$O1524=$Q$7)),"x","")</f>
        <v/>
      </c>
      <c r="R1524" s="47" t="str">
        <f>IF(AND($N1524=$Q$7,$B1524&lt;'111'!$L$11),"x","")</f>
        <v/>
      </c>
      <c r="S1524" s="47" t="str">
        <f>IF(AND($O1524=$Q$7,$B1524&lt;'111'!$L$11),"x","")</f>
        <v>x</v>
      </c>
    </row>
    <row r="1525" spans="1:19" ht="15.75" customHeight="1">
      <c r="A1525" s="152" t="str">
        <f>IF(B1525&lt;&gt;"",IF(AND(B1525='IN-TC'!$S$4,OR(TH!N1525="1111",TH!O1525="1111")),TH!D1525,""),"")</f>
        <v/>
      </c>
      <c r="B1525" s="34">
        <f t="shared" si="53"/>
        <v>9</v>
      </c>
      <c r="C1525" s="35">
        <f t="shared" si="54"/>
        <v>42625</v>
      </c>
      <c r="D1525" s="212" t="s">
        <v>900</v>
      </c>
      <c r="E1525" s="35">
        <v>42625</v>
      </c>
      <c r="F1525" s="144" t="s">
        <v>1206</v>
      </c>
      <c r="G1525" s="191" t="s">
        <v>204</v>
      </c>
      <c r="H1525" s="198"/>
      <c r="I1525" s="186"/>
      <c r="J1525" s="186"/>
      <c r="K1525" s="185"/>
      <c r="L1525" s="186"/>
      <c r="M1525" s="36">
        <v>10000000</v>
      </c>
      <c r="N1525" s="37"/>
      <c r="O1525" s="37" t="s">
        <v>34</v>
      </c>
      <c r="P1525" s="47" t="str">
        <f>IF(AND('331-CT'!$F$5=TH!H1525,OR(N1525="331",O1525="331")),"x","")</f>
        <v/>
      </c>
      <c r="Q1525" s="47" t="str">
        <f>IF(AND(B1525='111'!$L$11,OR($N1525=$Q$7,$O1525=$Q$7)),"x","")</f>
        <v/>
      </c>
      <c r="R1525" s="47" t="str">
        <f>IF(AND($N1525=$Q$7,$B1525&lt;'111'!$L$11),"x","")</f>
        <v/>
      </c>
      <c r="S1525" s="47" t="str">
        <f>IF(AND($O1525=$Q$7,$B1525&lt;'111'!$L$11),"x","")</f>
        <v>x</v>
      </c>
    </row>
    <row r="1526" spans="1:19" ht="15.75" customHeight="1">
      <c r="A1526" s="152" t="str">
        <f>IF(B1526&lt;&gt;"",IF(AND(B1526='IN-TC'!$S$4,OR(TH!N1526="1111",TH!O1526="1111")),TH!D1526,""),"")</f>
        <v/>
      </c>
      <c r="B1526" s="34">
        <f t="shared" si="53"/>
        <v>9</v>
      </c>
      <c r="C1526" s="35">
        <f t="shared" si="54"/>
        <v>42625</v>
      </c>
      <c r="D1526" s="212" t="s">
        <v>901</v>
      </c>
      <c r="E1526" s="35">
        <v>42625</v>
      </c>
      <c r="F1526" s="144" t="s">
        <v>1207</v>
      </c>
      <c r="G1526" s="191"/>
      <c r="H1526" s="198"/>
      <c r="I1526" s="186"/>
      <c r="J1526" s="186"/>
      <c r="K1526" s="185"/>
      <c r="L1526" s="186"/>
      <c r="M1526" s="36">
        <v>10000000</v>
      </c>
      <c r="N1526" s="37"/>
      <c r="O1526" s="37" t="s">
        <v>34</v>
      </c>
      <c r="P1526" s="47" t="str">
        <f>IF(AND('331-CT'!$F$5=TH!H1526,OR(N1526="331",O1526="331")),"x","")</f>
        <v/>
      </c>
      <c r="Q1526" s="47" t="str">
        <f>IF(AND(B1526='111'!$L$11,OR($N1526=$Q$7,$O1526=$Q$7)),"x","")</f>
        <v/>
      </c>
      <c r="R1526" s="47" t="str">
        <f>IF(AND($N1526=$Q$7,$B1526&lt;'111'!$L$11),"x","")</f>
        <v/>
      </c>
      <c r="S1526" s="47" t="str">
        <f>IF(AND($O1526=$Q$7,$B1526&lt;'111'!$L$11),"x","")</f>
        <v>x</v>
      </c>
    </row>
    <row r="1527" spans="1:19" ht="15.75" customHeight="1">
      <c r="A1527" s="152" t="str">
        <f>IF(B1527&lt;&gt;"",IF(AND(B1527='IN-TC'!$S$4,OR(TH!N1527="1111",TH!O1527="1111")),TH!D1527,""),"")</f>
        <v/>
      </c>
      <c r="B1527" s="34">
        <f t="shared" si="53"/>
        <v>9</v>
      </c>
      <c r="C1527" s="35">
        <f t="shared" si="54"/>
        <v>42625</v>
      </c>
      <c r="D1527" s="212" t="s">
        <v>902</v>
      </c>
      <c r="E1527" s="35">
        <v>42625</v>
      </c>
      <c r="F1527" s="144" t="s">
        <v>1208</v>
      </c>
      <c r="G1527" s="191" t="s">
        <v>207</v>
      </c>
      <c r="H1527" s="198"/>
      <c r="I1527" s="186"/>
      <c r="J1527" s="186"/>
      <c r="K1527" s="185"/>
      <c r="L1527" s="186"/>
      <c r="M1527" s="36">
        <v>1000000</v>
      </c>
      <c r="N1527" s="37"/>
      <c r="O1527" s="37" t="s">
        <v>34</v>
      </c>
      <c r="P1527" s="47" t="str">
        <f>IF(AND('331-CT'!$F$5=TH!H1527,OR(N1527="331",O1527="331")),"x","")</f>
        <v/>
      </c>
      <c r="Q1527" s="47" t="str">
        <f>IF(AND(B1527='111'!$L$11,OR($N1527=$Q$7,$O1527=$Q$7)),"x","")</f>
        <v/>
      </c>
      <c r="R1527" s="47" t="str">
        <f>IF(AND($N1527=$Q$7,$B1527&lt;'111'!$L$11),"x","")</f>
        <v/>
      </c>
      <c r="S1527" s="47" t="str">
        <f>IF(AND($O1527=$Q$7,$B1527&lt;'111'!$L$11),"x","")</f>
        <v>x</v>
      </c>
    </row>
    <row r="1528" spans="1:19" ht="15.75" customHeight="1">
      <c r="A1528" s="152" t="str">
        <f>IF(B1528&lt;&gt;"",IF(AND(B1528='IN-TC'!$S$4,OR(TH!N1528="1111",TH!O1528="1111")),TH!D1528,""),"")</f>
        <v/>
      </c>
      <c r="B1528" s="34">
        <f t="shared" si="53"/>
        <v>9</v>
      </c>
      <c r="C1528" s="35">
        <f t="shared" si="54"/>
        <v>42626</v>
      </c>
      <c r="D1528" s="212"/>
      <c r="E1528" s="35">
        <v>42626</v>
      </c>
      <c r="F1528" s="144" t="s">
        <v>1466</v>
      </c>
      <c r="G1528" s="191" t="s">
        <v>204</v>
      </c>
      <c r="H1528" s="198" t="s">
        <v>832</v>
      </c>
      <c r="I1528" s="186">
        <v>892</v>
      </c>
      <c r="J1528" s="186">
        <v>15000</v>
      </c>
      <c r="K1528" s="185"/>
      <c r="L1528" s="186"/>
      <c r="M1528" s="36">
        <f>ROUND(I1528*J1528,0)</f>
        <v>13380000</v>
      </c>
      <c r="N1528" s="37" t="s">
        <v>1443</v>
      </c>
      <c r="O1528" s="37" t="s">
        <v>8</v>
      </c>
      <c r="P1528" s="47" t="str">
        <f>IF(AND('331-CT'!$F$5=TH!H1528,OR(N1528="331",O1528="331")),"x","")</f>
        <v/>
      </c>
      <c r="Q1528" s="47" t="str">
        <f>IF(AND(B1528='111'!$L$11,OR($N1528=$Q$7,$O1528=$Q$7)),"x","")</f>
        <v/>
      </c>
      <c r="R1528" s="47" t="str">
        <f>IF(AND($N1528=$Q$7,$B1528&lt;'111'!$L$11),"x","")</f>
        <v/>
      </c>
      <c r="S1528" s="47" t="str">
        <f>IF(AND($O1528=$Q$7,$B1528&lt;'111'!$L$11),"x","")</f>
        <v/>
      </c>
    </row>
    <row r="1529" spans="1:19" ht="15.75" customHeight="1">
      <c r="A1529" s="152" t="str">
        <f>IF(B1529&lt;&gt;"",IF(AND(B1529='IN-TC'!$S$4,OR(TH!N1529="1111",TH!O1529="1111")),TH!D1529,""),"")</f>
        <v/>
      </c>
      <c r="B1529" s="34">
        <f t="shared" si="53"/>
        <v>9</v>
      </c>
      <c r="C1529" s="35">
        <f t="shared" si="54"/>
        <v>42626</v>
      </c>
      <c r="D1529" s="212"/>
      <c r="E1529" s="35">
        <v>42626</v>
      </c>
      <c r="F1529" s="144" t="s">
        <v>1508</v>
      </c>
      <c r="G1529" s="191"/>
      <c r="H1529" s="198" t="s">
        <v>848</v>
      </c>
      <c r="I1529" s="186">
        <v>3988</v>
      </c>
      <c r="J1529" s="186">
        <v>48000</v>
      </c>
      <c r="K1529" s="185"/>
      <c r="L1529" s="186"/>
      <c r="M1529" s="36">
        <f>ROUND(I1529*J1529,-3)</f>
        <v>191424000</v>
      </c>
      <c r="N1529" s="37" t="s">
        <v>1443</v>
      </c>
      <c r="O1529" s="37" t="s">
        <v>8</v>
      </c>
      <c r="P1529" s="47" t="str">
        <f>IF(AND('331-CT'!$F$5=TH!H1529,OR(N1529="331",O1529="331")),"x","")</f>
        <v/>
      </c>
      <c r="Q1529" s="47" t="str">
        <f>IF(AND(B1529='111'!$L$11,OR($N1529=$Q$7,$O1529=$Q$7)),"x","")</f>
        <v/>
      </c>
      <c r="R1529" s="47" t="str">
        <f>IF(AND($N1529=$Q$7,$B1529&lt;'111'!$L$11),"x","")</f>
        <v/>
      </c>
      <c r="S1529" s="47" t="str">
        <f>IF(AND($O1529=$Q$7,$B1529&lt;'111'!$L$11),"x","")</f>
        <v/>
      </c>
    </row>
    <row r="1530" spans="1:19" ht="15.75" customHeight="1">
      <c r="A1530" s="152" t="str">
        <f>IF(B1530&lt;&gt;"",IF(AND(B1530='IN-TC'!$S$4,OR(TH!N1530="1111",TH!O1530="1111")),TH!D1530,""),"")</f>
        <v/>
      </c>
      <c r="B1530" s="34">
        <f t="shared" si="53"/>
        <v>9</v>
      </c>
      <c r="C1530" s="35">
        <f t="shared" si="54"/>
        <v>42626</v>
      </c>
      <c r="D1530" s="212"/>
      <c r="E1530" s="35">
        <v>42626</v>
      </c>
      <c r="F1530" s="144" t="s">
        <v>1521</v>
      </c>
      <c r="G1530" s="191"/>
      <c r="H1530" s="198" t="s">
        <v>848</v>
      </c>
      <c r="I1530" s="186">
        <v>115</v>
      </c>
      <c r="J1530" s="186">
        <v>48000</v>
      </c>
      <c r="K1530" s="185"/>
      <c r="L1530" s="186"/>
      <c r="M1530" s="36">
        <f>ROUND(I1530*J1530,-3)</f>
        <v>5520000</v>
      </c>
      <c r="N1530" s="37" t="s">
        <v>1443</v>
      </c>
      <c r="O1530" s="37" t="s">
        <v>8</v>
      </c>
      <c r="P1530" s="47" t="str">
        <f>IF(AND('331-CT'!$F$5=TH!H1530,OR(N1530="331",O1530="331")),"x","")</f>
        <v/>
      </c>
      <c r="Q1530" s="47" t="str">
        <f>IF(AND(B1530='111'!$L$11,OR($N1530=$Q$7,$O1530=$Q$7)),"x","")</f>
        <v/>
      </c>
      <c r="R1530" s="47" t="str">
        <f>IF(AND($N1530=$Q$7,$B1530&lt;'111'!$L$11),"x","")</f>
        <v/>
      </c>
      <c r="S1530" s="47" t="str">
        <f>IF(AND($O1530=$Q$7,$B1530&lt;'111'!$L$11),"x","")</f>
        <v/>
      </c>
    </row>
    <row r="1531" spans="1:19" ht="15.75" customHeight="1">
      <c r="A1531" s="152" t="str">
        <f>IF(B1531&lt;&gt;"",IF(AND(B1531='IN-TC'!$S$4,OR(TH!N1531="1111",TH!O1531="1111")),TH!D1531,""),"")</f>
        <v/>
      </c>
      <c r="B1531" s="34">
        <f t="shared" si="53"/>
        <v>9</v>
      </c>
      <c r="C1531" s="35">
        <f t="shared" si="54"/>
        <v>42627</v>
      </c>
      <c r="D1531" s="212" t="s">
        <v>938</v>
      </c>
      <c r="E1531" s="35">
        <v>42627</v>
      </c>
      <c r="F1531" s="144" t="s">
        <v>1191</v>
      </c>
      <c r="G1531" s="191" t="s">
        <v>104</v>
      </c>
      <c r="H1531" s="198"/>
      <c r="I1531" s="186"/>
      <c r="J1531" s="186"/>
      <c r="K1531" s="185"/>
      <c r="L1531" s="186"/>
      <c r="M1531" s="36">
        <v>3300000000</v>
      </c>
      <c r="N1531" s="37" t="s">
        <v>34</v>
      </c>
      <c r="O1531" s="37"/>
      <c r="P1531" s="47" t="str">
        <f>IF(AND('331-CT'!$F$5=TH!H1531,OR(N1531="331",O1531="331")),"x","")</f>
        <v/>
      </c>
      <c r="Q1531" s="47" t="str">
        <f>IF(AND(B1531='111'!$L$11,OR($N1531=$Q$7,$O1531=$Q$7)),"x","")</f>
        <v/>
      </c>
      <c r="R1531" s="47" t="str">
        <f>IF(AND($N1531=$Q$7,$B1531&lt;'111'!$L$11),"x","")</f>
        <v>x</v>
      </c>
      <c r="S1531" s="47" t="str">
        <f>IF(AND($O1531=$Q$7,$B1531&lt;'111'!$L$11),"x","")</f>
        <v/>
      </c>
    </row>
    <row r="1532" spans="1:19" ht="15.75" customHeight="1">
      <c r="A1532" s="152" t="str">
        <f>IF(B1532&lt;&gt;"",IF(AND(B1532='IN-TC'!$S$4,OR(TH!N1532="1111",TH!O1532="1111")),TH!D1532,""),"")</f>
        <v/>
      </c>
      <c r="B1532" s="34">
        <f t="shared" si="53"/>
        <v>9</v>
      </c>
      <c r="C1532" s="35">
        <f t="shared" si="54"/>
        <v>42627</v>
      </c>
      <c r="D1532" s="212" t="s">
        <v>903</v>
      </c>
      <c r="E1532" s="35">
        <v>42627</v>
      </c>
      <c r="F1532" s="144" t="s">
        <v>1209</v>
      </c>
      <c r="G1532" s="191"/>
      <c r="H1532" s="198"/>
      <c r="I1532" s="186"/>
      <c r="J1532" s="186"/>
      <c r="K1532" s="185"/>
      <c r="L1532" s="186"/>
      <c r="M1532" s="36">
        <v>100000</v>
      </c>
      <c r="N1532" s="37"/>
      <c r="O1532" s="37" t="s">
        <v>34</v>
      </c>
      <c r="P1532" s="47" t="str">
        <f>IF(AND('331-CT'!$F$5=TH!H1532,OR(N1532="331",O1532="331")),"x","")</f>
        <v/>
      </c>
      <c r="Q1532" s="47" t="str">
        <f>IF(AND(B1532='111'!$L$11,OR($N1532=$Q$7,$O1532=$Q$7)),"x","")</f>
        <v/>
      </c>
      <c r="R1532" s="47" t="str">
        <f>IF(AND($N1532=$Q$7,$B1532&lt;'111'!$L$11),"x","")</f>
        <v/>
      </c>
      <c r="S1532" s="47" t="str">
        <f>IF(AND($O1532=$Q$7,$B1532&lt;'111'!$L$11),"x","")</f>
        <v>x</v>
      </c>
    </row>
    <row r="1533" spans="1:19" ht="15.75" customHeight="1">
      <c r="A1533" s="152" t="str">
        <f>IF(B1533&lt;&gt;"",IF(AND(B1533='IN-TC'!$S$4,OR(TH!N1533="1111",TH!O1533="1111")),TH!D1533,""),"")</f>
        <v/>
      </c>
      <c r="B1533" s="34">
        <f t="shared" si="53"/>
        <v>9</v>
      </c>
      <c r="C1533" s="35">
        <f t="shared" si="54"/>
        <v>42627</v>
      </c>
      <c r="D1533" s="212" t="s">
        <v>904</v>
      </c>
      <c r="E1533" s="35">
        <v>42627</v>
      </c>
      <c r="F1533" s="144" t="s">
        <v>1210</v>
      </c>
      <c r="G1533" s="191" t="s">
        <v>1432</v>
      </c>
      <c r="H1533" s="198"/>
      <c r="I1533" s="186"/>
      <c r="J1533" s="186"/>
      <c r="K1533" s="185"/>
      <c r="L1533" s="186"/>
      <c r="M1533" s="36">
        <v>3097252000</v>
      </c>
      <c r="N1533" s="37"/>
      <c r="O1533" s="37" t="s">
        <v>34</v>
      </c>
      <c r="P1533" s="47" t="str">
        <f>IF(AND('331-CT'!$F$5=TH!H1533,OR(N1533="331",O1533="331")),"x","")</f>
        <v/>
      </c>
      <c r="Q1533" s="47" t="str">
        <f>IF(AND(B1533='111'!$L$11,OR($N1533=$Q$7,$O1533=$Q$7)),"x","")</f>
        <v/>
      </c>
      <c r="R1533" s="47" t="str">
        <f>IF(AND($N1533=$Q$7,$B1533&lt;'111'!$L$11),"x","")</f>
        <v/>
      </c>
      <c r="S1533" s="47" t="str">
        <f>IF(AND($O1533=$Q$7,$B1533&lt;'111'!$L$11),"x","")</f>
        <v>x</v>
      </c>
    </row>
    <row r="1534" spans="1:19" ht="15.75" customHeight="1">
      <c r="A1534" s="152" t="str">
        <f>IF(B1534&lt;&gt;"",IF(AND(B1534='IN-TC'!$S$4,OR(TH!N1534="1111",TH!O1534="1111")),TH!D1534,""),"")</f>
        <v/>
      </c>
      <c r="B1534" s="34">
        <f t="shared" si="53"/>
        <v>9</v>
      </c>
      <c r="C1534" s="35">
        <f t="shared" si="54"/>
        <v>42627</v>
      </c>
      <c r="D1534" s="212" t="s">
        <v>905</v>
      </c>
      <c r="E1534" s="35">
        <v>42627</v>
      </c>
      <c r="F1534" s="144" t="s">
        <v>1211</v>
      </c>
      <c r="G1534" s="191"/>
      <c r="H1534" s="198"/>
      <c r="I1534" s="186"/>
      <c r="J1534" s="186"/>
      <c r="K1534" s="185"/>
      <c r="L1534" s="186"/>
      <c r="M1534" s="36">
        <v>200000</v>
      </c>
      <c r="N1534" s="37"/>
      <c r="O1534" s="37" t="s">
        <v>34</v>
      </c>
      <c r="P1534" s="47" t="str">
        <f>IF(AND('331-CT'!$F$5=TH!H1534,OR(N1534="331",O1534="331")),"x","")</f>
        <v/>
      </c>
      <c r="Q1534" s="47" t="str">
        <f>IF(AND(B1534='111'!$L$11,OR($N1534=$Q$7,$O1534=$Q$7)),"x","")</f>
        <v/>
      </c>
      <c r="R1534" s="47" t="str">
        <f>IF(AND($N1534=$Q$7,$B1534&lt;'111'!$L$11),"x","")</f>
        <v/>
      </c>
      <c r="S1534" s="47" t="str">
        <f>IF(AND($O1534=$Q$7,$B1534&lt;'111'!$L$11),"x","")</f>
        <v>x</v>
      </c>
    </row>
    <row r="1535" spans="1:19" ht="15.75" customHeight="1">
      <c r="A1535" s="152" t="str">
        <f>IF(B1535&lt;&gt;"",IF(AND(B1535='IN-TC'!$S$4,OR(TH!N1535="1111",TH!O1535="1111")),TH!D1535,""),"")</f>
        <v/>
      </c>
      <c r="B1535" s="34">
        <f t="shared" si="53"/>
        <v>9</v>
      </c>
      <c r="C1535" s="35">
        <f t="shared" si="54"/>
        <v>42627</v>
      </c>
      <c r="D1535" s="212" t="s">
        <v>906</v>
      </c>
      <c r="E1535" s="35">
        <v>42627</v>
      </c>
      <c r="F1535" s="144" t="s">
        <v>1212</v>
      </c>
      <c r="G1535" s="191" t="s">
        <v>204</v>
      </c>
      <c r="H1535" s="198"/>
      <c r="I1535" s="186"/>
      <c r="J1535" s="186"/>
      <c r="K1535" s="185"/>
      <c r="L1535" s="186"/>
      <c r="M1535" s="36">
        <v>380114000</v>
      </c>
      <c r="N1535" s="37"/>
      <c r="O1535" s="37" t="s">
        <v>34</v>
      </c>
      <c r="P1535" s="47" t="str">
        <f>IF(AND('331-CT'!$F$5=TH!H1535,OR(N1535="331",O1535="331")),"x","")</f>
        <v/>
      </c>
      <c r="Q1535" s="47" t="str">
        <f>IF(AND(B1535='111'!$L$11,OR($N1535=$Q$7,$O1535=$Q$7)),"x","")</f>
        <v/>
      </c>
      <c r="R1535" s="47" t="str">
        <f>IF(AND($N1535=$Q$7,$B1535&lt;'111'!$L$11),"x","")</f>
        <v/>
      </c>
      <c r="S1535" s="47" t="str">
        <f>IF(AND($O1535=$Q$7,$B1535&lt;'111'!$L$11),"x","")</f>
        <v>x</v>
      </c>
    </row>
    <row r="1536" spans="1:19" ht="15.75" customHeight="1">
      <c r="A1536" s="152" t="str">
        <f>IF(B1536&lt;&gt;"",IF(AND(B1536='IN-TC'!$S$4,OR(TH!N1536="1111",TH!O1536="1111")),TH!D1536,""),"")</f>
        <v/>
      </c>
      <c r="B1536" s="34">
        <f t="shared" si="53"/>
        <v>9</v>
      </c>
      <c r="C1536" s="35">
        <f t="shared" si="54"/>
        <v>42627</v>
      </c>
      <c r="D1536" s="212" t="s">
        <v>907</v>
      </c>
      <c r="E1536" s="35">
        <v>42627</v>
      </c>
      <c r="F1536" s="144" t="s">
        <v>1213</v>
      </c>
      <c r="G1536" s="191"/>
      <c r="H1536" s="198"/>
      <c r="I1536" s="186"/>
      <c r="J1536" s="186"/>
      <c r="K1536" s="185"/>
      <c r="L1536" s="186"/>
      <c r="M1536" s="36">
        <v>328000</v>
      </c>
      <c r="N1536" s="37"/>
      <c r="O1536" s="37" t="s">
        <v>34</v>
      </c>
      <c r="P1536" s="47" t="str">
        <f>IF(AND('331-CT'!$F$5=TH!H1536,OR(N1536="331",O1536="331")),"x","")</f>
        <v/>
      </c>
      <c r="Q1536" s="47" t="str">
        <f>IF(AND(B1536='111'!$L$11,OR($N1536=$Q$7,$O1536=$Q$7)),"x","")</f>
        <v/>
      </c>
      <c r="R1536" s="47" t="str">
        <f>IF(AND($N1536=$Q$7,$B1536&lt;'111'!$L$11),"x","")</f>
        <v/>
      </c>
      <c r="S1536" s="47" t="str">
        <f>IF(AND($O1536=$Q$7,$B1536&lt;'111'!$L$11),"x","")</f>
        <v>x</v>
      </c>
    </row>
    <row r="1537" spans="1:19" ht="15.75" customHeight="1">
      <c r="A1537" s="152" t="str">
        <f>IF(B1537&lt;&gt;"",IF(AND(B1537='IN-TC'!$S$4,OR(TH!N1537="1111",TH!O1537="1111")),TH!D1537,""),"")</f>
        <v/>
      </c>
      <c r="B1537" s="34">
        <f t="shared" si="53"/>
        <v>9</v>
      </c>
      <c r="C1537" s="35">
        <f t="shared" si="54"/>
        <v>42627</v>
      </c>
      <c r="D1537" s="212" t="s">
        <v>908</v>
      </c>
      <c r="E1537" s="35">
        <v>42627</v>
      </c>
      <c r="F1537" s="144" t="s">
        <v>367</v>
      </c>
      <c r="G1537" s="191" t="s">
        <v>206</v>
      </c>
      <c r="H1537" s="198" t="s">
        <v>849</v>
      </c>
      <c r="I1537" s="186"/>
      <c r="J1537" s="186"/>
      <c r="K1537" s="185"/>
      <c r="L1537" s="186"/>
      <c r="M1537" s="36">
        <v>100000000</v>
      </c>
      <c r="N1537" s="37" t="s">
        <v>8</v>
      </c>
      <c r="O1537" s="37" t="s">
        <v>34</v>
      </c>
      <c r="P1537" s="47" t="str">
        <f>IF(AND('331-CT'!$F$5=TH!H1537,OR(N1537="331",O1537="331")),"x","")</f>
        <v/>
      </c>
      <c r="Q1537" s="47" t="str">
        <f>IF(AND(B1537='111'!$L$11,OR($N1537=$Q$7,$O1537=$Q$7)),"x","")</f>
        <v/>
      </c>
      <c r="R1537" s="47" t="str">
        <f>IF(AND($N1537=$Q$7,$B1537&lt;'111'!$L$11),"x","")</f>
        <v/>
      </c>
      <c r="S1537" s="47" t="str">
        <f>IF(AND($O1537=$Q$7,$B1537&lt;'111'!$L$11),"x","")</f>
        <v>x</v>
      </c>
    </row>
    <row r="1538" spans="1:19" ht="15.75" customHeight="1">
      <c r="A1538" s="152" t="str">
        <f>IF(B1538&lt;&gt;"",IF(AND(B1538='IN-TC'!$S$4,OR(TH!N1538="1111",TH!O1538="1111")),TH!D1538,""),"")</f>
        <v/>
      </c>
      <c r="B1538" s="34">
        <f t="shared" si="53"/>
        <v>9</v>
      </c>
      <c r="C1538" s="35">
        <f t="shared" si="54"/>
        <v>42627</v>
      </c>
      <c r="D1538" s="212"/>
      <c r="E1538" s="35">
        <v>42627</v>
      </c>
      <c r="F1538" s="144" t="s">
        <v>1473</v>
      </c>
      <c r="G1538" s="191"/>
      <c r="H1538" s="198" t="s">
        <v>821</v>
      </c>
      <c r="I1538" s="186">
        <v>1558</v>
      </c>
      <c r="J1538" s="186">
        <v>25000</v>
      </c>
      <c r="K1538" s="185"/>
      <c r="L1538" s="186"/>
      <c r="M1538" s="36">
        <f>ROUND(I1538*J1538,0)</f>
        <v>38950000</v>
      </c>
      <c r="N1538" s="37" t="s">
        <v>1443</v>
      </c>
      <c r="O1538" s="37" t="s">
        <v>8</v>
      </c>
      <c r="P1538" s="47" t="str">
        <f>IF(AND('331-CT'!$F$5=TH!H1538,OR(N1538="331",O1538="331")),"x","")</f>
        <v/>
      </c>
      <c r="Q1538" s="47" t="str">
        <f>IF(AND(B1538='111'!$L$11,OR($N1538=$Q$7,$O1538=$Q$7)),"x","")</f>
        <v/>
      </c>
      <c r="R1538" s="47" t="str">
        <f>IF(AND($N1538=$Q$7,$B1538&lt;'111'!$L$11),"x","")</f>
        <v/>
      </c>
      <c r="S1538" s="47" t="str">
        <f>IF(AND($O1538=$Q$7,$B1538&lt;'111'!$L$11),"x","")</f>
        <v/>
      </c>
    </row>
    <row r="1539" spans="1:19" ht="15.75" customHeight="1">
      <c r="A1539" s="152" t="str">
        <f>IF(B1539&lt;&gt;"",IF(AND(B1539='IN-TC'!$S$4,OR(TH!N1539="1111",TH!O1539="1111")),TH!D1539,""),"")</f>
        <v/>
      </c>
      <c r="B1539" s="34">
        <f t="shared" si="53"/>
        <v>9</v>
      </c>
      <c r="C1539" s="35">
        <f t="shared" si="54"/>
        <v>42627</v>
      </c>
      <c r="D1539" s="212"/>
      <c r="E1539" s="35">
        <v>42627</v>
      </c>
      <c r="F1539" s="144" t="s">
        <v>1464</v>
      </c>
      <c r="G1539" s="191"/>
      <c r="H1539" s="198" t="s">
        <v>821</v>
      </c>
      <c r="I1539" s="186">
        <v>1088</v>
      </c>
      <c r="J1539" s="186">
        <v>20000</v>
      </c>
      <c r="K1539" s="185"/>
      <c r="L1539" s="186"/>
      <c r="M1539" s="36">
        <f>ROUND(I1539*J1539,0)</f>
        <v>21760000</v>
      </c>
      <c r="N1539" s="37" t="s">
        <v>1443</v>
      </c>
      <c r="O1539" s="37" t="s">
        <v>8</v>
      </c>
      <c r="P1539" s="47" t="str">
        <f>IF(AND('331-CT'!$F$5=TH!H1539,OR(N1539="331",O1539="331")),"x","")</f>
        <v/>
      </c>
      <c r="Q1539" s="47" t="str">
        <f>IF(AND(B1539='111'!$L$11,OR($N1539=$Q$7,$O1539=$Q$7)),"x","")</f>
        <v/>
      </c>
      <c r="R1539" s="47" t="str">
        <f>IF(AND($N1539=$Q$7,$B1539&lt;'111'!$L$11),"x","")</f>
        <v/>
      </c>
      <c r="S1539" s="47" t="str">
        <f>IF(AND($O1539=$Q$7,$B1539&lt;'111'!$L$11),"x","")</f>
        <v/>
      </c>
    </row>
    <row r="1540" spans="1:19" ht="15.75" customHeight="1">
      <c r="A1540" s="152" t="str">
        <f>IF(B1540&lt;&gt;"",IF(AND(B1540='IN-TC'!$S$4,OR(TH!N1540="1111",TH!O1540="1111")),TH!D1540,""),"")</f>
        <v/>
      </c>
      <c r="B1540" s="34">
        <f t="shared" si="53"/>
        <v>9</v>
      </c>
      <c r="C1540" s="35">
        <f t="shared" si="54"/>
        <v>42627</v>
      </c>
      <c r="D1540" s="212"/>
      <c r="E1540" s="35">
        <v>42627</v>
      </c>
      <c r="F1540" s="144" t="s">
        <v>1469</v>
      </c>
      <c r="G1540" s="191"/>
      <c r="H1540" s="198" t="s">
        <v>1419</v>
      </c>
      <c r="I1540" s="186">
        <v>4544</v>
      </c>
      <c r="J1540" s="186">
        <v>19000</v>
      </c>
      <c r="K1540" s="185"/>
      <c r="L1540" s="186"/>
      <c r="M1540" s="36">
        <f>ROUND(I1540*J1540,-3)</f>
        <v>86336000</v>
      </c>
      <c r="N1540" s="37" t="s">
        <v>1443</v>
      </c>
      <c r="O1540" s="37" t="s">
        <v>8</v>
      </c>
      <c r="P1540" s="47" t="str">
        <f>IF(AND('331-CT'!$F$5=TH!H1540,OR(N1540="331",O1540="331")),"x","")</f>
        <v/>
      </c>
      <c r="Q1540" s="47" t="str">
        <f>IF(AND(B1540='111'!$L$11,OR($N1540=$Q$7,$O1540=$Q$7)),"x","")</f>
        <v/>
      </c>
      <c r="R1540" s="47" t="str">
        <f>IF(AND($N1540=$Q$7,$B1540&lt;'111'!$L$11),"x","")</f>
        <v/>
      </c>
      <c r="S1540" s="47" t="str">
        <f>IF(AND($O1540=$Q$7,$B1540&lt;'111'!$L$11),"x","")</f>
        <v/>
      </c>
    </row>
    <row r="1541" spans="1:19" ht="15.75" customHeight="1">
      <c r="A1541" s="152" t="str">
        <f>IF(B1541&lt;&gt;"",IF(AND(B1541='IN-TC'!$S$4,OR(TH!N1541="1111",TH!O1541="1111")),TH!D1541,""),"")</f>
        <v/>
      </c>
      <c r="B1541" s="34">
        <f t="shared" si="53"/>
        <v>9</v>
      </c>
      <c r="C1541" s="35">
        <f t="shared" si="54"/>
        <v>42628</v>
      </c>
      <c r="D1541" s="212" t="s">
        <v>909</v>
      </c>
      <c r="E1541" s="35">
        <v>42628</v>
      </c>
      <c r="F1541" s="144" t="s">
        <v>1214</v>
      </c>
      <c r="G1541" s="191"/>
      <c r="H1541" s="198"/>
      <c r="I1541" s="186"/>
      <c r="J1541" s="186"/>
      <c r="K1541" s="185"/>
      <c r="L1541" s="186"/>
      <c r="M1541" s="36">
        <v>10000000</v>
      </c>
      <c r="N1541" s="37"/>
      <c r="O1541" s="37" t="s">
        <v>34</v>
      </c>
      <c r="P1541" s="47" t="str">
        <f>IF(AND('331-CT'!$F$5=TH!H1541,OR(N1541="331",O1541="331")),"x","")</f>
        <v/>
      </c>
      <c r="Q1541" s="47" t="str">
        <f>IF(AND(B1541='111'!$L$11,OR($N1541=$Q$7,$O1541=$Q$7)),"x","")</f>
        <v/>
      </c>
      <c r="R1541" s="47" t="str">
        <f>IF(AND($N1541=$Q$7,$B1541&lt;'111'!$L$11),"x","")</f>
        <v/>
      </c>
      <c r="S1541" s="47" t="str">
        <f>IF(AND($O1541=$Q$7,$B1541&lt;'111'!$L$11),"x","")</f>
        <v>x</v>
      </c>
    </row>
    <row r="1542" spans="1:19" ht="15.75" customHeight="1">
      <c r="A1542" s="152" t="str">
        <f>IF(B1542&lt;&gt;"",IF(AND(B1542='IN-TC'!$S$4,OR(TH!N1542="1111",TH!O1542="1111")),TH!D1542,""),"")</f>
        <v/>
      </c>
      <c r="B1542" s="34">
        <f t="shared" si="53"/>
        <v>9</v>
      </c>
      <c r="C1542" s="35">
        <f t="shared" si="54"/>
        <v>42628</v>
      </c>
      <c r="D1542" s="212" t="s">
        <v>910</v>
      </c>
      <c r="E1542" s="35">
        <v>42628</v>
      </c>
      <c r="F1542" s="144" t="s">
        <v>1215</v>
      </c>
      <c r="G1542" s="191"/>
      <c r="H1542" s="198"/>
      <c r="I1542" s="186"/>
      <c r="J1542" s="186"/>
      <c r="K1542" s="185"/>
      <c r="L1542" s="186"/>
      <c r="M1542" s="36">
        <v>2220000</v>
      </c>
      <c r="N1542" s="37"/>
      <c r="O1542" s="37" t="s">
        <v>34</v>
      </c>
      <c r="P1542" s="47" t="str">
        <f>IF(AND('331-CT'!$F$5=TH!H1542,OR(N1542="331",O1542="331")),"x","")</f>
        <v/>
      </c>
      <c r="Q1542" s="47" t="str">
        <f>IF(AND(B1542='111'!$L$11,OR($N1542=$Q$7,$O1542=$Q$7)),"x","")</f>
        <v/>
      </c>
      <c r="R1542" s="47" t="str">
        <f>IF(AND($N1542=$Q$7,$B1542&lt;'111'!$L$11),"x","")</f>
        <v/>
      </c>
      <c r="S1542" s="47" t="str">
        <f>IF(AND($O1542=$Q$7,$B1542&lt;'111'!$L$11),"x","")</f>
        <v>x</v>
      </c>
    </row>
    <row r="1543" spans="1:19" ht="15.75" customHeight="1">
      <c r="A1543" s="152" t="str">
        <f>IF(B1543&lt;&gt;"",IF(AND(B1543='IN-TC'!$S$4,OR(TH!N1543="1111",TH!O1543="1111")),TH!D1543,""),"")</f>
        <v/>
      </c>
      <c r="B1543" s="34">
        <f t="shared" si="53"/>
        <v>9</v>
      </c>
      <c r="C1543" s="35">
        <f t="shared" si="54"/>
        <v>42628</v>
      </c>
      <c r="D1543" s="212" t="s">
        <v>911</v>
      </c>
      <c r="E1543" s="35">
        <v>42628</v>
      </c>
      <c r="F1543" s="144" t="s">
        <v>1216</v>
      </c>
      <c r="G1543" s="191" t="s">
        <v>212</v>
      </c>
      <c r="H1543" s="198"/>
      <c r="I1543" s="186"/>
      <c r="J1543" s="186"/>
      <c r="K1543" s="185"/>
      <c r="L1543" s="186"/>
      <c r="M1543" s="36">
        <v>192699000</v>
      </c>
      <c r="N1543" s="37"/>
      <c r="O1543" s="37" t="s">
        <v>34</v>
      </c>
      <c r="P1543" s="47" t="str">
        <f>IF(AND('331-CT'!$F$5=TH!H1543,OR(N1543="331",O1543="331")),"x","")</f>
        <v/>
      </c>
      <c r="Q1543" s="47" t="str">
        <f>IF(AND(B1543='111'!$L$11,OR($N1543=$Q$7,$O1543=$Q$7)),"x","")</f>
        <v/>
      </c>
      <c r="R1543" s="47" t="str">
        <f>IF(AND($N1543=$Q$7,$B1543&lt;'111'!$L$11),"x","")</f>
        <v/>
      </c>
      <c r="S1543" s="47" t="str">
        <f>IF(AND($O1543=$Q$7,$B1543&lt;'111'!$L$11),"x","")</f>
        <v>x</v>
      </c>
    </row>
    <row r="1544" spans="1:19" ht="15.75" customHeight="1">
      <c r="A1544" s="152" t="str">
        <f>IF(B1544&lt;&gt;"",IF(AND(B1544='IN-TC'!$S$4,OR(TH!N1544="1111",TH!O1544="1111")),TH!D1544,""),"")</f>
        <v/>
      </c>
      <c r="B1544" s="34">
        <f t="shared" si="53"/>
        <v>9</v>
      </c>
      <c r="C1544" s="35">
        <f t="shared" si="54"/>
        <v>42628</v>
      </c>
      <c r="D1544" s="212" t="s">
        <v>912</v>
      </c>
      <c r="E1544" s="35">
        <v>42628</v>
      </c>
      <c r="F1544" s="144" t="s">
        <v>1217</v>
      </c>
      <c r="G1544" s="191"/>
      <c r="H1544" s="198"/>
      <c r="I1544" s="186"/>
      <c r="J1544" s="186"/>
      <c r="K1544" s="185"/>
      <c r="L1544" s="186"/>
      <c r="M1544" s="36">
        <v>7840000</v>
      </c>
      <c r="N1544" s="37"/>
      <c r="O1544" s="37" t="s">
        <v>34</v>
      </c>
      <c r="P1544" s="47" t="str">
        <f>IF(AND('331-CT'!$F$5=TH!H1544,OR(N1544="331",O1544="331")),"x","")</f>
        <v/>
      </c>
      <c r="Q1544" s="47" t="str">
        <f>IF(AND(B1544='111'!$L$11,OR($N1544=$Q$7,$O1544=$Q$7)),"x","")</f>
        <v/>
      </c>
      <c r="R1544" s="47" t="str">
        <f>IF(AND($N1544=$Q$7,$B1544&lt;'111'!$L$11),"x","")</f>
        <v/>
      </c>
      <c r="S1544" s="47" t="str">
        <f>IF(AND($O1544=$Q$7,$B1544&lt;'111'!$L$11),"x","")</f>
        <v>x</v>
      </c>
    </row>
    <row r="1545" spans="1:19" ht="15.75" customHeight="1">
      <c r="A1545" s="152" t="str">
        <f>IF(B1545&lt;&gt;"",IF(AND(B1545='IN-TC'!$S$4,OR(TH!N1545="1111",TH!O1545="1111")),TH!D1545,""),"")</f>
        <v/>
      </c>
      <c r="B1545" s="34">
        <f t="shared" si="53"/>
        <v>9</v>
      </c>
      <c r="C1545" s="35">
        <f t="shared" si="54"/>
        <v>42628</v>
      </c>
      <c r="D1545" s="212" t="s">
        <v>939</v>
      </c>
      <c r="E1545" s="35">
        <v>42628</v>
      </c>
      <c r="F1545" s="144" t="s">
        <v>1218</v>
      </c>
      <c r="G1545" s="191" t="s">
        <v>110</v>
      </c>
      <c r="H1545" s="198"/>
      <c r="I1545" s="186"/>
      <c r="J1545" s="186"/>
      <c r="K1545" s="185"/>
      <c r="L1545" s="186"/>
      <c r="M1545" s="36">
        <v>3000000</v>
      </c>
      <c r="N1545" s="37" t="s">
        <v>34</v>
      </c>
      <c r="O1545" s="37"/>
      <c r="P1545" s="47" t="str">
        <f>IF(AND('331-CT'!$F$5=TH!H1545,OR(N1545="331",O1545="331")),"x","")</f>
        <v/>
      </c>
      <c r="Q1545" s="47" t="str">
        <f>IF(AND(B1545='111'!$L$11,OR($N1545=$Q$7,$O1545=$Q$7)),"x","")</f>
        <v/>
      </c>
      <c r="R1545" s="47" t="str">
        <f>IF(AND($N1545=$Q$7,$B1545&lt;'111'!$L$11),"x","")</f>
        <v>x</v>
      </c>
      <c r="S1545" s="47" t="str">
        <f>IF(AND($O1545=$Q$7,$B1545&lt;'111'!$L$11),"x","")</f>
        <v/>
      </c>
    </row>
    <row r="1546" spans="1:19" ht="15.75" customHeight="1">
      <c r="A1546" s="152" t="str">
        <f>IF(B1546&lt;&gt;"",IF(AND(B1546='IN-TC'!$S$4,OR(TH!N1546="1111",TH!O1546="1111")),TH!D1546,""),"")</f>
        <v/>
      </c>
      <c r="B1546" s="34">
        <f t="shared" si="53"/>
        <v>9</v>
      </c>
      <c r="C1546" s="35">
        <f t="shared" si="54"/>
        <v>42628</v>
      </c>
      <c r="D1546" s="212" t="s">
        <v>913</v>
      </c>
      <c r="E1546" s="35">
        <v>42628</v>
      </c>
      <c r="F1546" s="144" t="s">
        <v>1219</v>
      </c>
      <c r="G1546" s="191"/>
      <c r="H1546" s="198"/>
      <c r="I1546" s="186"/>
      <c r="J1546" s="186"/>
      <c r="K1546" s="185"/>
      <c r="L1546" s="186"/>
      <c r="M1546" s="36">
        <v>1840000</v>
      </c>
      <c r="N1546" s="37"/>
      <c r="O1546" s="37" t="s">
        <v>34</v>
      </c>
      <c r="P1546" s="47" t="str">
        <f>IF(AND('331-CT'!$F$5=TH!H1546,OR(N1546="331",O1546="331")),"x","")</f>
        <v/>
      </c>
      <c r="Q1546" s="47" t="str">
        <f>IF(AND(B1546='111'!$L$11,OR($N1546=$Q$7,$O1546=$Q$7)),"x","")</f>
        <v/>
      </c>
      <c r="R1546" s="47" t="str">
        <f>IF(AND($N1546=$Q$7,$B1546&lt;'111'!$L$11),"x","")</f>
        <v/>
      </c>
      <c r="S1546" s="47" t="str">
        <f>IF(AND($O1546=$Q$7,$B1546&lt;'111'!$L$11),"x","")</f>
        <v>x</v>
      </c>
    </row>
    <row r="1547" spans="1:19" ht="15.75" customHeight="1">
      <c r="A1547" s="152" t="str">
        <f>IF(B1547&lt;&gt;"",IF(AND(B1547='IN-TC'!$S$4,OR(TH!N1547="1111",TH!O1547="1111")),TH!D1547,""),"")</f>
        <v/>
      </c>
      <c r="B1547" s="34">
        <f t="shared" si="53"/>
        <v>9</v>
      </c>
      <c r="C1547" s="35">
        <f t="shared" si="54"/>
        <v>42628</v>
      </c>
      <c r="D1547" s="212" t="s">
        <v>914</v>
      </c>
      <c r="E1547" s="35">
        <v>42628</v>
      </c>
      <c r="F1547" s="144" t="s">
        <v>1220</v>
      </c>
      <c r="G1547" s="191"/>
      <c r="H1547" s="198"/>
      <c r="I1547" s="186"/>
      <c r="J1547" s="186"/>
      <c r="K1547" s="185"/>
      <c r="L1547" s="186"/>
      <c r="M1547" s="36">
        <v>270000</v>
      </c>
      <c r="N1547" s="37"/>
      <c r="O1547" s="37" t="s">
        <v>34</v>
      </c>
      <c r="P1547" s="47" t="str">
        <f>IF(AND('331-CT'!$F$5=TH!H1547,OR(N1547="331",O1547="331")),"x","")</f>
        <v/>
      </c>
      <c r="Q1547" s="47" t="str">
        <f>IF(AND(B1547='111'!$L$11,OR($N1547=$Q$7,$O1547=$Q$7)),"x","")</f>
        <v/>
      </c>
      <c r="R1547" s="47" t="str">
        <f>IF(AND($N1547=$Q$7,$B1547&lt;'111'!$L$11),"x","")</f>
        <v/>
      </c>
      <c r="S1547" s="47" t="str">
        <f>IF(AND($O1547=$Q$7,$B1547&lt;'111'!$L$11),"x","")</f>
        <v>x</v>
      </c>
    </row>
    <row r="1548" spans="1:19" ht="15.75" customHeight="1">
      <c r="A1548" s="152" t="str">
        <f>IF(B1548&lt;&gt;"",IF(AND(B1548='IN-TC'!$S$4,OR(TH!N1548="1111",TH!O1548="1111")),TH!D1548,""),"")</f>
        <v/>
      </c>
      <c r="B1548" s="34">
        <f t="shared" si="53"/>
        <v>9</v>
      </c>
      <c r="C1548" s="35">
        <f t="shared" si="54"/>
        <v>42628</v>
      </c>
      <c r="D1548" s="212" t="s">
        <v>915</v>
      </c>
      <c r="E1548" s="35">
        <v>42628</v>
      </c>
      <c r="F1548" s="144" t="s">
        <v>1221</v>
      </c>
      <c r="G1548" s="191" t="s">
        <v>104</v>
      </c>
      <c r="H1548" s="198"/>
      <c r="I1548" s="186"/>
      <c r="J1548" s="186"/>
      <c r="K1548" s="185"/>
      <c r="L1548" s="186"/>
      <c r="M1548" s="36">
        <v>10000000</v>
      </c>
      <c r="N1548" s="37"/>
      <c r="O1548" s="37" t="s">
        <v>34</v>
      </c>
      <c r="P1548" s="47" t="str">
        <f>IF(AND('331-CT'!$F$5=TH!H1548,OR(N1548="331",O1548="331")),"x","")</f>
        <v/>
      </c>
      <c r="Q1548" s="47" t="str">
        <f>IF(AND(B1548='111'!$L$11,OR($N1548=$Q$7,$O1548=$Q$7)),"x","")</f>
        <v/>
      </c>
      <c r="R1548" s="47" t="str">
        <f>IF(AND($N1548=$Q$7,$B1548&lt;'111'!$L$11),"x","")</f>
        <v/>
      </c>
      <c r="S1548" s="47" t="str">
        <f>IF(AND($O1548=$Q$7,$B1548&lt;'111'!$L$11),"x","")</f>
        <v>x</v>
      </c>
    </row>
    <row r="1549" spans="1:19" ht="15.75" customHeight="1">
      <c r="A1549" s="152" t="str">
        <f>IF(B1549&lt;&gt;"",IF(AND(B1549='IN-TC'!$S$4,OR(TH!N1549="1111",TH!O1549="1111")),TH!D1549,""),"")</f>
        <v/>
      </c>
      <c r="B1549" s="34">
        <f t="shared" ref="B1549:B1612" si="56">IF(C1549&lt;&gt;"",MONTH(C1549),"")</f>
        <v>9</v>
      </c>
      <c r="C1549" s="35">
        <f t="shared" ref="C1549:C1612" si="57">E1549</f>
        <v>42628</v>
      </c>
      <c r="D1549" s="212" t="s">
        <v>916</v>
      </c>
      <c r="E1549" s="35">
        <v>42628</v>
      </c>
      <c r="F1549" s="144" t="s">
        <v>1222</v>
      </c>
      <c r="G1549" s="191"/>
      <c r="H1549" s="198"/>
      <c r="I1549" s="186"/>
      <c r="J1549" s="186"/>
      <c r="K1549" s="185"/>
      <c r="L1549" s="186"/>
      <c r="M1549" s="36">
        <v>300000</v>
      </c>
      <c r="N1549" s="37"/>
      <c r="O1549" s="37" t="s">
        <v>34</v>
      </c>
      <c r="P1549" s="47" t="str">
        <f>IF(AND('331-CT'!$F$5=TH!H1549,OR(N1549="331",O1549="331")),"x","")</f>
        <v/>
      </c>
      <c r="Q1549" s="47" t="str">
        <f>IF(AND(B1549='111'!$L$11,OR($N1549=$Q$7,$O1549=$Q$7)),"x","")</f>
        <v/>
      </c>
      <c r="R1549" s="47" t="str">
        <f>IF(AND($N1549=$Q$7,$B1549&lt;'111'!$L$11),"x","")</f>
        <v/>
      </c>
      <c r="S1549" s="47" t="str">
        <f>IF(AND($O1549=$Q$7,$B1549&lt;'111'!$L$11),"x","")</f>
        <v>x</v>
      </c>
    </row>
    <row r="1550" spans="1:19" ht="15.75" customHeight="1">
      <c r="A1550" s="152" t="str">
        <f>IF(B1550&lt;&gt;"",IF(AND(B1550='IN-TC'!$S$4,OR(TH!N1550="1111",TH!O1550="1111")),TH!D1550,""),"")</f>
        <v/>
      </c>
      <c r="B1550" s="34">
        <f t="shared" si="56"/>
        <v>9</v>
      </c>
      <c r="C1550" s="35">
        <f t="shared" si="57"/>
        <v>42628</v>
      </c>
      <c r="D1550" s="212" t="s">
        <v>917</v>
      </c>
      <c r="E1550" s="35">
        <v>42628</v>
      </c>
      <c r="F1550" s="144" t="s">
        <v>1223</v>
      </c>
      <c r="G1550" s="191" t="s">
        <v>207</v>
      </c>
      <c r="H1550" s="198"/>
      <c r="I1550" s="186"/>
      <c r="J1550" s="186"/>
      <c r="K1550" s="185"/>
      <c r="L1550" s="186"/>
      <c r="M1550" s="36">
        <v>110000</v>
      </c>
      <c r="N1550" s="37"/>
      <c r="O1550" s="37" t="s">
        <v>34</v>
      </c>
      <c r="P1550" s="47" t="str">
        <f>IF(AND('331-CT'!$F$5=TH!H1550,OR(N1550="331",O1550="331")),"x","")</f>
        <v/>
      </c>
      <c r="Q1550" s="47" t="str">
        <f>IF(AND(B1550='111'!$L$11,OR($N1550=$Q$7,$O1550=$Q$7)),"x","")</f>
        <v/>
      </c>
      <c r="R1550" s="47" t="str">
        <f>IF(AND($N1550=$Q$7,$B1550&lt;'111'!$L$11),"x","")</f>
        <v/>
      </c>
      <c r="S1550" s="47" t="str">
        <f>IF(AND($O1550=$Q$7,$B1550&lt;'111'!$L$11),"x","")</f>
        <v>x</v>
      </c>
    </row>
    <row r="1551" spans="1:19" ht="15.75" customHeight="1">
      <c r="A1551" s="152" t="str">
        <f>IF(B1551&lt;&gt;"",IF(AND(B1551='IN-TC'!$S$4,OR(TH!N1551="1111",TH!O1551="1111")),TH!D1551,""),"")</f>
        <v/>
      </c>
      <c r="B1551" s="34">
        <f t="shared" si="56"/>
        <v>9</v>
      </c>
      <c r="C1551" s="35">
        <f t="shared" si="57"/>
        <v>42628</v>
      </c>
      <c r="D1551" s="212" t="s">
        <v>918</v>
      </c>
      <c r="E1551" s="35">
        <v>42628</v>
      </c>
      <c r="F1551" s="144" t="s">
        <v>1224</v>
      </c>
      <c r="G1551" s="191"/>
      <c r="H1551" s="198"/>
      <c r="I1551" s="186"/>
      <c r="J1551" s="186"/>
      <c r="K1551" s="185"/>
      <c r="L1551" s="186"/>
      <c r="M1551" s="36">
        <v>2135000</v>
      </c>
      <c r="N1551" s="37"/>
      <c r="O1551" s="37" t="s">
        <v>34</v>
      </c>
      <c r="P1551" s="47" t="str">
        <f>IF(AND('331-CT'!$F$5=TH!H1551,OR(N1551="331",O1551="331")),"x","")</f>
        <v/>
      </c>
      <c r="Q1551" s="47" t="str">
        <f>IF(AND(B1551='111'!$L$11,OR($N1551=$Q$7,$O1551=$Q$7)),"x","")</f>
        <v/>
      </c>
      <c r="R1551" s="47" t="str">
        <f>IF(AND($N1551=$Q$7,$B1551&lt;'111'!$L$11),"x","")</f>
        <v/>
      </c>
      <c r="S1551" s="47" t="str">
        <f>IF(AND($O1551=$Q$7,$B1551&lt;'111'!$L$11),"x","")</f>
        <v>x</v>
      </c>
    </row>
    <row r="1552" spans="1:19" ht="15.75" customHeight="1">
      <c r="A1552" s="152" t="str">
        <f>IF(B1552&lt;&gt;"",IF(AND(B1552='IN-TC'!$S$4,OR(TH!N1552="1111",TH!O1552="1111")),TH!D1552,""),"")</f>
        <v/>
      </c>
      <c r="B1552" s="34">
        <f t="shared" si="56"/>
        <v>9</v>
      </c>
      <c r="C1552" s="35">
        <f t="shared" si="57"/>
        <v>42629</v>
      </c>
      <c r="D1552" s="212" t="s">
        <v>930</v>
      </c>
      <c r="E1552" s="35">
        <v>42629</v>
      </c>
      <c r="F1552" s="144" t="s">
        <v>1225</v>
      </c>
      <c r="G1552" s="191" t="s">
        <v>105</v>
      </c>
      <c r="H1552" s="198" t="s">
        <v>1433</v>
      </c>
      <c r="I1552" s="186"/>
      <c r="J1552" s="186"/>
      <c r="K1552" s="185"/>
      <c r="L1552" s="186"/>
      <c r="M1552" s="36">
        <v>600000000</v>
      </c>
      <c r="N1552" s="37" t="s">
        <v>34</v>
      </c>
      <c r="O1552" s="37" t="s">
        <v>812</v>
      </c>
      <c r="P1552" s="47" t="str">
        <f>IF(AND('331-CT'!$F$5=TH!H1552,OR(N1552="331",O1552="331")),"x","")</f>
        <v/>
      </c>
      <c r="Q1552" s="47" t="str">
        <f>IF(AND(B1552='111'!$L$11,OR($N1552=$Q$7,$O1552=$Q$7)),"x","")</f>
        <v/>
      </c>
      <c r="R1552" s="47" t="str">
        <f>IF(AND($N1552=$Q$7,$B1552&lt;'111'!$L$11),"x","")</f>
        <v>x</v>
      </c>
      <c r="S1552" s="47" t="str">
        <f>IF(AND($O1552=$Q$7,$B1552&lt;'111'!$L$11),"x","")</f>
        <v/>
      </c>
    </row>
    <row r="1553" spans="1:19" ht="15.75" customHeight="1">
      <c r="A1553" s="152" t="str">
        <f>IF(B1553&lt;&gt;"",IF(AND(B1553='IN-TC'!$S$4,OR(TH!N1553="1111",TH!O1553="1111")),TH!D1553,""),"")</f>
        <v/>
      </c>
      <c r="B1553" s="34">
        <f t="shared" si="56"/>
        <v>9</v>
      </c>
      <c r="C1553" s="35">
        <f t="shared" si="57"/>
        <v>42629</v>
      </c>
      <c r="D1553" s="212" t="s">
        <v>919</v>
      </c>
      <c r="E1553" s="35">
        <v>42629</v>
      </c>
      <c r="F1553" s="144" t="s">
        <v>367</v>
      </c>
      <c r="G1553" s="191" t="s">
        <v>206</v>
      </c>
      <c r="H1553" s="198" t="s">
        <v>849</v>
      </c>
      <c r="I1553" s="186"/>
      <c r="J1553" s="186"/>
      <c r="K1553" s="185"/>
      <c r="L1553" s="186"/>
      <c r="M1553" s="36">
        <v>200000000</v>
      </c>
      <c r="N1553" s="37" t="s">
        <v>8</v>
      </c>
      <c r="O1553" s="37" t="s">
        <v>34</v>
      </c>
      <c r="P1553" s="47" t="str">
        <f>IF(AND('331-CT'!$F$5=TH!H1553,OR(N1553="331",O1553="331")),"x","")</f>
        <v/>
      </c>
      <c r="Q1553" s="47" t="str">
        <f>IF(AND(B1553='111'!$L$11,OR($N1553=$Q$7,$O1553=$Q$7)),"x","")</f>
        <v/>
      </c>
      <c r="R1553" s="47" t="str">
        <f>IF(AND($N1553=$Q$7,$B1553&lt;'111'!$L$11),"x","")</f>
        <v/>
      </c>
      <c r="S1553" s="47" t="str">
        <f>IF(AND($O1553=$Q$7,$B1553&lt;'111'!$L$11),"x","")</f>
        <v>x</v>
      </c>
    </row>
    <row r="1554" spans="1:19" ht="15.75" customHeight="1">
      <c r="A1554" s="152" t="str">
        <f>IF(B1554&lt;&gt;"",IF(AND(B1554='IN-TC'!$S$4,OR(TH!N1554="1111",TH!O1554="1111")),TH!D1554,""),"")</f>
        <v/>
      </c>
      <c r="B1554" s="34">
        <f t="shared" si="56"/>
        <v>9</v>
      </c>
      <c r="C1554" s="35">
        <f t="shared" si="57"/>
        <v>42629</v>
      </c>
      <c r="D1554" s="212" t="s">
        <v>920</v>
      </c>
      <c r="E1554" s="35">
        <v>42629</v>
      </c>
      <c r="F1554" s="144" t="s">
        <v>1226</v>
      </c>
      <c r="G1554" s="191" t="s">
        <v>206</v>
      </c>
      <c r="H1554" s="198" t="s">
        <v>1419</v>
      </c>
      <c r="I1554" s="186"/>
      <c r="J1554" s="186"/>
      <c r="K1554" s="185"/>
      <c r="L1554" s="186"/>
      <c r="M1554" s="36">
        <v>100000000</v>
      </c>
      <c r="N1554" s="37" t="s">
        <v>8</v>
      </c>
      <c r="O1554" s="37" t="s">
        <v>34</v>
      </c>
      <c r="P1554" s="47" t="str">
        <f>IF(AND('331-CT'!$F$5=TH!H1554,OR(N1554="331",O1554="331")),"x","")</f>
        <v/>
      </c>
      <c r="Q1554" s="47" t="str">
        <f>IF(AND(B1554='111'!$L$11,OR($N1554=$Q$7,$O1554=$Q$7)),"x","")</f>
        <v/>
      </c>
      <c r="R1554" s="47" t="str">
        <f>IF(AND($N1554=$Q$7,$B1554&lt;'111'!$L$11),"x","")</f>
        <v/>
      </c>
      <c r="S1554" s="47" t="str">
        <f>IF(AND($O1554=$Q$7,$B1554&lt;'111'!$L$11),"x","")</f>
        <v>x</v>
      </c>
    </row>
    <row r="1555" spans="1:19" ht="15.75" customHeight="1">
      <c r="A1555" s="152" t="str">
        <f>IF(B1555&lt;&gt;"",IF(AND(B1555='IN-TC'!$S$4,OR(TH!N1555="1111",TH!O1555="1111")),TH!D1555,""),"")</f>
        <v/>
      </c>
      <c r="B1555" s="34">
        <f t="shared" si="56"/>
        <v>9</v>
      </c>
      <c r="C1555" s="35">
        <f t="shared" si="57"/>
        <v>42629</v>
      </c>
      <c r="D1555" s="212" t="s">
        <v>921</v>
      </c>
      <c r="E1555" s="35">
        <v>42629</v>
      </c>
      <c r="F1555" s="144" t="s">
        <v>1232</v>
      </c>
      <c r="G1555" s="191"/>
      <c r="H1555" s="198"/>
      <c r="I1555" s="186"/>
      <c r="J1555" s="186"/>
      <c r="K1555" s="185"/>
      <c r="L1555" s="186"/>
      <c r="M1555" s="36">
        <v>275000</v>
      </c>
      <c r="N1555" s="37"/>
      <c r="O1555" s="37" t="s">
        <v>34</v>
      </c>
      <c r="P1555" s="47" t="str">
        <f>IF(AND('331-CT'!$F$5=TH!H1555,OR(N1555="331",O1555="331")),"x","")</f>
        <v/>
      </c>
      <c r="Q1555" s="47" t="str">
        <f>IF(AND(B1555='111'!$L$11,OR($N1555=$Q$7,$O1555=$Q$7)),"x","")</f>
        <v/>
      </c>
      <c r="R1555" s="47" t="str">
        <f>IF(AND($N1555=$Q$7,$B1555&lt;'111'!$L$11),"x","")</f>
        <v/>
      </c>
      <c r="S1555" s="47" t="str">
        <f>IF(AND($O1555=$Q$7,$B1555&lt;'111'!$L$11),"x","")</f>
        <v>x</v>
      </c>
    </row>
    <row r="1556" spans="1:19" ht="15.75" customHeight="1">
      <c r="A1556" s="152" t="str">
        <f>IF(B1556&lt;&gt;"",IF(AND(B1556='IN-TC'!$S$4,OR(TH!N1556="1111",TH!O1556="1111")),TH!D1556,""),"")</f>
        <v/>
      </c>
      <c r="B1556" s="34">
        <f t="shared" si="56"/>
        <v>9</v>
      </c>
      <c r="C1556" s="35">
        <f t="shared" si="57"/>
        <v>42629</v>
      </c>
      <c r="D1556" s="212" t="s">
        <v>922</v>
      </c>
      <c r="E1556" s="35">
        <v>42629</v>
      </c>
      <c r="F1556" s="144" t="s">
        <v>1233</v>
      </c>
      <c r="G1556" s="191" t="s">
        <v>207</v>
      </c>
      <c r="H1556" s="198"/>
      <c r="I1556" s="186"/>
      <c r="J1556" s="186"/>
      <c r="K1556" s="185"/>
      <c r="L1556" s="186"/>
      <c r="M1556" s="36">
        <v>934000</v>
      </c>
      <c r="N1556" s="37"/>
      <c r="O1556" s="37" t="s">
        <v>34</v>
      </c>
      <c r="P1556" s="47" t="str">
        <f>IF(AND('331-CT'!$F$5=TH!H1556,OR(N1556="331",O1556="331")),"x","")</f>
        <v/>
      </c>
      <c r="Q1556" s="47" t="str">
        <f>IF(AND(B1556='111'!$L$11,OR($N1556=$Q$7,$O1556=$Q$7)),"x","")</f>
        <v/>
      </c>
      <c r="R1556" s="47" t="str">
        <f>IF(AND($N1556=$Q$7,$B1556&lt;'111'!$L$11),"x","")</f>
        <v/>
      </c>
      <c r="S1556" s="47" t="str">
        <f>IF(AND($O1556=$Q$7,$B1556&lt;'111'!$L$11),"x","")</f>
        <v>x</v>
      </c>
    </row>
    <row r="1557" spans="1:19" ht="15.75" customHeight="1">
      <c r="A1557" s="152" t="str">
        <f>IF(B1557&lt;&gt;"",IF(AND(B1557='IN-TC'!$S$4,OR(TH!N1557="1111",TH!O1557="1111")),TH!D1557,""),"")</f>
        <v/>
      </c>
      <c r="B1557" s="34">
        <f t="shared" si="56"/>
        <v>9</v>
      </c>
      <c r="C1557" s="35">
        <f t="shared" si="57"/>
        <v>42629</v>
      </c>
      <c r="D1557" s="212"/>
      <c r="E1557" s="35">
        <v>42629</v>
      </c>
      <c r="F1557" s="144" t="s">
        <v>1449</v>
      </c>
      <c r="G1557" s="191" t="s">
        <v>204</v>
      </c>
      <c r="H1557" s="198" t="s">
        <v>849</v>
      </c>
      <c r="I1557" s="186">
        <v>5572</v>
      </c>
      <c r="J1557" s="186">
        <v>53000</v>
      </c>
      <c r="K1557" s="185"/>
      <c r="L1557" s="186"/>
      <c r="M1557" s="36">
        <f>ROUND(I1557*J1557,0)</f>
        <v>295316000</v>
      </c>
      <c r="N1557" s="37" t="s">
        <v>1443</v>
      </c>
      <c r="O1557" s="37" t="s">
        <v>8</v>
      </c>
      <c r="P1557" s="47" t="str">
        <f>IF(AND('331-CT'!$F$5=TH!H1557,OR(N1557="331",O1557="331")),"x","")</f>
        <v/>
      </c>
      <c r="Q1557" s="47" t="str">
        <f>IF(AND(B1557='111'!$L$11,OR($N1557=$Q$7,$O1557=$Q$7)),"x","")</f>
        <v/>
      </c>
      <c r="R1557" s="47" t="str">
        <f>IF(AND($N1557=$Q$7,$B1557&lt;'111'!$L$11),"x","")</f>
        <v/>
      </c>
      <c r="S1557" s="47" t="str">
        <f>IF(AND($O1557=$Q$7,$B1557&lt;'111'!$L$11),"x","")</f>
        <v/>
      </c>
    </row>
    <row r="1558" spans="1:19" ht="15.75" customHeight="1">
      <c r="A1558" s="152" t="str">
        <f>IF(B1558&lt;&gt;"",IF(AND(B1558='IN-TC'!$S$4,OR(TH!N1558="1111",TH!O1558="1111")),TH!D1558,""),"")</f>
        <v/>
      </c>
      <c r="B1558" s="34">
        <f t="shared" si="56"/>
        <v>9</v>
      </c>
      <c r="C1558" s="35">
        <f t="shared" si="57"/>
        <v>42629</v>
      </c>
      <c r="D1558" s="212"/>
      <c r="E1558" s="35">
        <v>42629</v>
      </c>
      <c r="F1558" s="144" t="s">
        <v>1449</v>
      </c>
      <c r="G1558" s="191" t="s">
        <v>204</v>
      </c>
      <c r="H1558" s="7" t="s">
        <v>851</v>
      </c>
      <c r="I1558" s="186">
        <v>7820</v>
      </c>
      <c r="J1558" s="186">
        <v>52000</v>
      </c>
      <c r="K1558" s="185"/>
      <c r="L1558" s="186"/>
      <c r="M1558" s="36">
        <f>ROUND(I1558*J1558,0)</f>
        <v>406640000</v>
      </c>
      <c r="N1558" s="37" t="s">
        <v>1443</v>
      </c>
      <c r="O1558" s="37" t="s">
        <v>8</v>
      </c>
      <c r="P1558" s="47" t="str">
        <f>IF(AND('331-CT'!$F$5=TH!H1558,OR(N1558="331",O1558="331")),"x","")</f>
        <v/>
      </c>
      <c r="Q1558" s="47" t="str">
        <f>IF(AND(B1558='111'!$L$11,OR($N1558=$Q$7,$O1558=$Q$7)),"x","")</f>
        <v/>
      </c>
      <c r="R1558" s="47" t="str">
        <f>IF(AND($N1558=$Q$7,$B1558&lt;'111'!$L$11),"x","")</f>
        <v/>
      </c>
      <c r="S1558" s="47" t="str">
        <f>IF(AND($O1558=$Q$7,$B1558&lt;'111'!$L$11),"x","")</f>
        <v/>
      </c>
    </row>
    <row r="1559" spans="1:19" ht="15.75" customHeight="1">
      <c r="A1559" s="152" t="str">
        <f>IF(B1559&lt;&gt;"",IF(AND(B1559='IN-TC'!$S$4,OR(TH!N1559="1111",TH!O1559="1111")),TH!D1559,""),"")</f>
        <v/>
      </c>
      <c r="B1559" s="34">
        <f t="shared" si="56"/>
        <v>9</v>
      </c>
      <c r="C1559" s="35">
        <f t="shared" si="57"/>
        <v>42629</v>
      </c>
      <c r="D1559" s="212"/>
      <c r="E1559" s="35">
        <v>42629</v>
      </c>
      <c r="F1559" s="144" t="s">
        <v>1466</v>
      </c>
      <c r="G1559" s="191"/>
      <c r="H1559" s="198" t="s">
        <v>1419</v>
      </c>
      <c r="I1559" s="186">
        <v>172</v>
      </c>
      <c r="J1559" s="186">
        <v>16000</v>
      </c>
      <c r="K1559" s="185"/>
      <c r="L1559" s="186"/>
      <c r="M1559" s="36">
        <f>ROUND(I1559*J1559,-3)</f>
        <v>2752000</v>
      </c>
      <c r="N1559" s="37" t="s">
        <v>1443</v>
      </c>
      <c r="O1559" s="37" t="s">
        <v>8</v>
      </c>
      <c r="P1559" s="47" t="str">
        <f>IF(AND('331-CT'!$F$5=TH!H1559,OR(N1559="331",O1559="331")),"x","")</f>
        <v/>
      </c>
      <c r="Q1559" s="47" t="str">
        <f>IF(AND(B1559='111'!$L$11,OR($N1559=$Q$7,$O1559=$Q$7)),"x","")</f>
        <v/>
      </c>
      <c r="R1559" s="47" t="str">
        <f>IF(AND($N1559=$Q$7,$B1559&lt;'111'!$L$11),"x","")</f>
        <v/>
      </c>
      <c r="S1559" s="47" t="str">
        <f>IF(AND($O1559=$Q$7,$B1559&lt;'111'!$L$11),"x","")</f>
        <v/>
      </c>
    </row>
    <row r="1560" spans="1:19" ht="15.75" customHeight="1">
      <c r="A1560" s="152" t="str">
        <f>IF(B1560&lt;&gt;"",IF(AND(B1560='IN-TC'!$S$4,OR(TH!N1560="1111",TH!O1560="1111")),TH!D1560,""),"")</f>
        <v/>
      </c>
      <c r="B1560" s="34">
        <f t="shared" si="56"/>
        <v>9</v>
      </c>
      <c r="C1560" s="35">
        <f t="shared" si="57"/>
        <v>42629</v>
      </c>
      <c r="D1560" s="212"/>
      <c r="E1560" s="35">
        <v>42629</v>
      </c>
      <c r="F1560" s="144" t="s">
        <v>1522</v>
      </c>
      <c r="G1560" s="191"/>
      <c r="H1560" s="198" t="s">
        <v>1419</v>
      </c>
      <c r="I1560" s="186">
        <v>44</v>
      </c>
      <c r="J1560" s="186">
        <v>14000</v>
      </c>
      <c r="K1560" s="185"/>
      <c r="L1560" s="186"/>
      <c r="M1560" s="36">
        <f>ROUND(I1560*J1560,-3)</f>
        <v>616000</v>
      </c>
      <c r="N1560" s="37" t="s">
        <v>1443</v>
      </c>
      <c r="O1560" s="37" t="s">
        <v>8</v>
      </c>
      <c r="P1560" s="47" t="str">
        <f>IF(AND('331-CT'!$F$5=TH!H1560,OR(N1560="331",O1560="331")),"x","")</f>
        <v/>
      </c>
      <c r="Q1560" s="47" t="str">
        <f>IF(AND(B1560='111'!$L$11,OR($N1560=$Q$7,$O1560=$Q$7)),"x","")</f>
        <v/>
      </c>
      <c r="R1560" s="47" t="str">
        <f>IF(AND($N1560=$Q$7,$B1560&lt;'111'!$L$11),"x","")</f>
        <v/>
      </c>
      <c r="S1560" s="47" t="str">
        <f>IF(AND($O1560=$Q$7,$B1560&lt;'111'!$L$11),"x","")</f>
        <v/>
      </c>
    </row>
    <row r="1561" spans="1:19" ht="15.75" customHeight="1">
      <c r="A1561" s="152" t="str">
        <f>IF(B1561&lt;&gt;"",IF(AND(B1561='IN-TC'!$S$4,OR(TH!N1561="1111",TH!O1561="1111")),TH!D1561,""),"")</f>
        <v/>
      </c>
      <c r="B1561" s="34">
        <f t="shared" si="56"/>
        <v>9</v>
      </c>
      <c r="C1561" s="35">
        <f t="shared" si="57"/>
        <v>42629</v>
      </c>
      <c r="D1561" s="212"/>
      <c r="E1561" s="35">
        <v>42629</v>
      </c>
      <c r="F1561" s="144" t="s">
        <v>1473</v>
      </c>
      <c r="G1561" s="191"/>
      <c r="H1561" s="198" t="s">
        <v>1419</v>
      </c>
      <c r="I1561" s="186">
        <v>96</v>
      </c>
      <c r="J1561" s="186">
        <v>25000</v>
      </c>
      <c r="K1561" s="185"/>
      <c r="L1561" s="186"/>
      <c r="M1561" s="36">
        <f>ROUND(I1561*J1561,-3)</f>
        <v>2400000</v>
      </c>
      <c r="N1561" s="37" t="s">
        <v>1443</v>
      </c>
      <c r="O1561" s="37" t="s">
        <v>8</v>
      </c>
      <c r="P1561" s="47" t="str">
        <f>IF(AND('331-CT'!$F$5=TH!H1561,OR(N1561="331",O1561="331")),"x","")</f>
        <v/>
      </c>
      <c r="Q1561" s="47" t="str">
        <f>IF(AND(B1561='111'!$L$11,OR($N1561=$Q$7,$O1561=$Q$7)),"x","")</f>
        <v/>
      </c>
      <c r="R1561" s="47" t="str">
        <f>IF(AND($N1561=$Q$7,$B1561&lt;'111'!$L$11),"x","")</f>
        <v/>
      </c>
      <c r="S1561" s="47" t="str">
        <f>IF(AND($O1561=$Q$7,$B1561&lt;'111'!$L$11),"x","")</f>
        <v/>
      </c>
    </row>
    <row r="1562" spans="1:19" ht="15.75" customHeight="1">
      <c r="A1562" s="152" t="str">
        <f>IF(B1562&lt;&gt;"",IF(AND(B1562='IN-TC'!$S$4,OR(TH!N1562="1111",TH!O1562="1111")),TH!D1562,""),"")</f>
        <v/>
      </c>
      <c r="B1562" s="34">
        <f t="shared" si="56"/>
        <v>9</v>
      </c>
      <c r="C1562" s="35">
        <f t="shared" si="57"/>
        <v>42629</v>
      </c>
      <c r="D1562" s="212"/>
      <c r="E1562" s="35">
        <v>42629</v>
      </c>
      <c r="F1562" s="144" t="s">
        <v>1464</v>
      </c>
      <c r="G1562" s="191"/>
      <c r="H1562" s="198" t="s">
        <v>1419</v>
      </c>
      <c r="I1562" s="186">
        <v>576</v>
      </c>
      <c r="J1562" s="186">
        <v>19000</v>
      </c>
      <c r="K1562" s="185"/>
      <c r="L1562" s="186"/>
      <c r="M1562" s="36">
        <f>ROUND(I1562*J1562,-3)</f>
        <v>10944000</v>
      </c>
      <c r="N1562" s="37" t="s">
        <v>1443</v>
      </c>
      <c r="O1562" s="37" t="s">
        <v>8</v>
      </c>
      <c r="P1562" s="47" t="str">
        <f>IF(AND('331-CT'!$F$5=TH!H1562,OR(N1562="331",O1562="331")),"x","")</f>
        <v/>
      </c>
      <c r="Q1562" s="47" t="str">
        <f>IF(AND(B1562='111'!$L$11,OR($N1562=$Q$7,$O1562=$Q$7)),"x","")</f>
        <v/>
      </c>
      <c r="R1562" s="47" t="str">
        <f>IF(AND($N1562=$Q$7,$B1562&lt;'111'!$L$11),"x","")</f>
        <v/>
      </c>
      <c r="S1562" s="47" t="str">
        <f>IF(AND($O1562=$Q$7,$B1562&lt;'111'!$L$11),"x","")</f>
        <v/>
      </c>
    </row>
    <row r="1563" spans="1:19" ht="15.75" customHeight="1">
      <c r="A1563" s="152" t="str">
        <f>IF(B1563&lt;&gt;"",IF(AND(B1563='IN-TC'!$S$4,OR(TH!N1563="1111",TH!O1563="1111")),TH!D1563,""),"")</f>
        <v/>
      </c>
      <c r="B1563" s="34">
        <f t="shared" si="56"/>
        <v>9</v>
      </c>
      <c r="C1563" s="35">
        <f t="shared" si="57"/>
        <v>42630</v>
      </c>
      <c r="D1563" s="212" t="s">
        <v>923</v>
      </c>
      <c r="E1563" s="35">
        <v>42630</v>
      </c>
      <c r="F1563" s="144" t="s">
        <v>1394</v>
      </c>
      <c r="G1563" s="191" t="s">
        <v>206</v>
      </c>
      <c r="H1563" s="198" t="s">
        <v>851</v>
      </c>
      <c r="I1563" s="186"/>
      <c r="J1563" s="186"/>
      <c r="K1563" s="185"/>
      <c r="L1563" s="186"/>
      <c r="M1563" s="36">
        <v>150000000</v>
      </c>
      <c r="N1563" s="37" t="s">
        <v>8</v>
      </c>
      <c r="O1563" s="37" t="s">
        <v>34</v>
      </c>
      <c r="P1563" s="47" t="str">
        <f>IF(AND('331-CT'!$F$5=TH!H1563,OR(N1563="331",O1563="331")),"x","")</f>
        <v/>
      </c>
      <c r="Q1563" s="47" t="str">
        <f>IF(AND(B1563='111'!$L$11,OR($N1563=$Q$7,$O1563=$Q$7)),"x","")</f>
        <v/>
      </c>
      <c r="R1563" s="47" t="str">
        <f>IF(AND($N1563=$Q$7,$B1563&lt;'111'!$L$11),"x","")</f>
        <v/>
      </c>
      <c r="S1563" s="47" t="str">
        <f>IF(AND($O1563=$Q$7,$B1563&lt;'111'!$L$11),"x","")</f>
        <v>x</v>
      </c>
    </row>
    <row r="1564" spans="1:19" ht="15.75" customHeight="1">
      <c r="A1564" s="152" t="str">
        <f>IF(B1564&lt;&gt;"",IF(AND(B1564='IN-TC'!$S$4,OR(TH!N1564="1111",TH!O1564="1111")),TH!D1564,""),"")</f>
        <v/>
      </c>
      <c r="B1564" s="34">
        <f t="shared" si="56"/>
        <v>9</v>
      </c>
      <c r="C1564" s="35">
        <f t="shared" si="57"/>
        <v>42630</v>
      </c>
      <c r="D1564" s="212"/>
      <c r="E1564" s="35">
        <v>42630</v>
      </c>
      <c r="F1564" s="144" t="s">
        <v>1449</v>
      </c>
      <c r="G1564" s="191" t="s">
        <v>1454</v>
      </c>
      <c r="H1564" s="198" t="s">
        <v>849</v>
      </c>
      <c r="I1564" s="186">
        <v>4600</v>
      </c>
      <c r="J1564" s="186">
        <v>53000</v>
      </c>
      <c r="K1564" s="185"/>
      <c r="L1564" s="186"/>
      <c r="M1564" s="36">
        <f>ROUND(I1564*J1564,0)</f>
        <v>243800000</v>
      </c>
      <c r="N1564" s="37" t="s">
        <v>1443</v>
      </c>
      <c r="O1564" s="37" t="s">
        <v>8</v>
      </c>
      <c r="P1564" s="47" t="str">
        <f>IF(AND('331-CT'!$F$5=TH!H1564,OR(N1564="331",O1564="331")),"x","")</f>
        <v/>
      </c>
      <c r="Q1564" s="47" t="str">
        <f>IF(AND(B1564='111'!$L$11,OR($N1564=$Q$7,$O1564=$Q$7)),"x","")</f>
        <v/>
      </c>
      <c r="R1564" s="47" t="str">
        <f>IF(AND($N1564=$Q$7,$B1564&lt;'111'!$L$11),"x","")</f>
        <v/>
      </c>
      <c r="S1564" s="47" t="str">
        <f>IF(AND($O1564=$Q$7,$B1564&lt;'111'!$L$11),"x","")</f>
        <v/>
      </c>
    </row>
    <row r="1565" spans="1:19" ht="15.75" customHeight="1">
      <c r="A1565" s="152" t="str">
        <f>IF(B1565&lt;&gt;"",IF(AND(B1565='IN-TC'!$S$4,OR(TH!N1565="1111",TH!O1565="1111")),TH!D1565,""),"")</f>
        <v/>
      </c>
      <c r="B1565" s="34">
        <f t="shared" si="56"/>
        <v>9</v>
      </c>
      <c r="C1565" s="35">
        <f t="shared" si="57"/>
        <v>42631</v>
      </c>
      <c r="D1565" s="212"/>
      <c r="E1565" s="35">
        <v>42631</v>
      </c>
      <c r="F1565" s="144" t="s">
        <v>1469</v>
      </c>
      <c r="G1565" s="191"/>
      <c r="H1565" s="198" t="s">
        <v>1419</v>
      </c>
      <c r="I1565" s="186">
        <v>2942</v>
      </c>
      <c r="J1565" s="186">
        <v>18000</v>
      </c>
      <c r="K1565" s="185"/>
      <c r="L1565" s="186"/>
      <c r="M1565" s="36">
        <f>ROUND(I1565*J1565,-3)</f>
        <v>52956000</v>
      </c>
      <c r="N1565" s="37" t="s">
        <v>1443</v>
      </c>
      <c r="O1565" s="37" t="s">
        <v>8</v>
      </c>
      <c r="P1565" s="47" t="str">
        <f>IF(AND('331-CT'!$F$5=TH!H1565,OR(N1565="331",O1565="331")),"x","")</f>
        <v/>
      </c>
      <c r="Q1565" s="47" t="str">
        <f>IF(AND(B1565='111'!$L$11,OR($N1565=$Q$7,$O1565=$Q$7)),"x","")</f>
        <v/>
      </c>
      <c r="R1565" s="47" t="str">
        <f>IF(AND($N1565=$Q$7,$B1565&lt;'111'!$L$11),"x","")</f>
        <v/>
      </c>
      <c r="S1565" s="47" t="str">
        <f>IF(AND($O1565=$Q$7,$B1565&lt;'111'!$L$11),"x","")</f>
        <v/>
      </c>
    </row>
    <row r="1566" spans="1:19" ht="15.75" customHeight="1">
      <c r="A1566" s="152" t="str">
        <f>IF(B1566&lt;&gt;"",IF(AND(B1566='IN-TC'!$S$4,OR(TH!N1566="1111",TH!O1566="1111")),TH!D1566,""),"")</f>
        <v/>
      </c>
      <c r="B1566" s="34">
        <f t="shared" si="56"/>
        <v>9</v>
      </c>
      <c r="C1566" s="35">
        <f t="shared" si="57"/>
        <v>42632</v>
      </c>
      <c r="D1566" s="212" t="s">
        <v>924</v>
      </c>
      <c r="E1566" s="35">
        <v>42632</v>
      </c>
      <c r="F1566" s="144" t="s">
        <v>367</v>
      </c>
      <c r="G1566" s="191" t="s">
        <v>206</v>
      </c>
      <c r="H1566" s="198" t="s">
        <v>849</v>
      </c>
      <c r="I1566" s="186"/>
      <c r="J1566" s="186"/>
      <c r="K1566" s="185"/>
      <c r="L1566" s="186"/>
      <c r="M1566" s="36">
        <v>150000000</v>
      </c>
      <c r="N1566" s="37" t="s">
        <v>8</v>
      </c>
      <c r="O1566" s="37" t="s">
        <v>34</v>
      </c>
      <c r="P1566" s="47" t="str">
        <f>IF(AND('331-CT'!$F$5=TH!H1566,OR(N1566="331",O1566="331")),"x","")</f>
        <v/>
      </c>
      <c r="Q1566" s="47" t="str">
        <f>IF(AND(B1566='111'!$L$11,OR($N1566=$Q$7,$O1566=$Q$7)),"x","")</f>
        <v/>
      </c>
      <c r="R1566" s="47" t="str">
        <f>IF(AND($N1566=$Q$7,$B1566&lt;'111'!$L$11),"x","")</f>
        <v/>
      </c>
      <c r="S1566" s="47" t="str">
        <f>IF(AND($O1566=$Q$7,$B1566&lt;'111'!$L$11),"x","")</f>
        <v>x</v>
      </c>
    </row>
    <row r="1567" spans="1:19" ht="15.75" customHeight="1">
      <c r="A1567" s="152" t="str">
        <f>IF(B1567&lt;&gt;"",IF(AND(B1567='IN-TC'!$S$4,OR(TH!N1567="1111",TH!O1567="1111")),TH!D1567,""),"")</f>
        <v/>
      </c>
      <c r="B1567" s="34">
        <f t="shared" si="56"/>
        <v>9</v>
      </c>
      <c r="C1567" s="35">
        <f t="shared" si="57"/>
        <v>42632</v>
      </c>
      <c r="D1567" s="212" t="s">
        <v>925</v>
      </c>
      <c r="E1567" s="35">
        <v>42632</v>
      </c>
      <c r="F1567" s="144" t="s">
        <v>1227</v>
      </c>
      <c r="G1567" s="191" t="s">
        <v>207</v>
      </c>
      <c r="H1567" s="198"/>
      <c r="I1567" s="186"/>
      <c r="J1567" s="186"/>
      <c r="K1567" s="185"/>
      <c r="L1567" s="186"/>
      <c r="M1567" s="36">
        <v>1000000</v>
      </c>
      <c r="N1567" s="37"/>
      <c r="O1567" s="37" t="s">
        <v>34</v>
      </c>
      <c r="P1567" s="47" t="str">
        <f>IF(AND('331-CT'!$F$5=TH!H1567,OR(N1567="331",O1567="331")),"x","")</f>
        <v/>
      </c>
      <c r="Q1567" s="47" t="str">
        <f>IF(AND(B1567='111'!$L$11,OR($N1567=$Q$7,$O1567=$Q$7)),"x","")</f>
        <v/>
      </c>
      <c r="R1567" s="47" t="str">
        <f>IF(AND($N1567=$Q$7,$B1567&lt;'111'!$L$11),"x","")</f>
        <v/>
      </c>
      <c r="S1567" s="47" t="str">
        <f>IF(AND($O1567=$Q$7,$B1567&lt;'111'!$L$11),"x","")</f>
        <v>x</v>
      </c>
    </row>
    <row r="1568" spans="1:19" ht="15.75" customHeight="1">
      <c r="A1568" s="152" t="str">
        <f>IF(B1568&lt;&gt;"",IF(AND(B1568='IN-TC'!$S$4,OR(TH!N1568="1111",TH!O1568="1111")),TH!D1568,""),"")</f>
        <v/>
      </c>
      <c r="B1568" s="34">
        <f t="shared" si="56"/>
        <v>9</v>
      </c>
      <c r="C1568" s="35">
        <f t="shared" si="57"/>
        <v>42632</v>
      </c>
      <c r="D1568" s="212" t="s">
        <v>926</v>
      </c>
      <c r="E1568" s="35">
        <v>42632</v>
      </c>
      <c r="F1568" s="144" t="s">
        <v>1228</v>
      </c>
      <c r="G1568" s="191"/>
      <c r="H1568" s="198"/>
      <c r="I1568" s="186"/>
      <c r="J1568" s="186"/>
      <c r="K1568" s="185"/>
      <c r="L1568" s="186"/>
      <c r="M1568" s="36">
        <v>1100000</v>
      </c>
      <c r="N1568" s="37"/>
      <c r="O1568" s="37" t="s">
        <v>34</v>
      </c>
      <c r="P1568" s="47" t="str">
        <f>IF(AND('331-CT'!$F$5=TH!H1568,OR(N1568="331",O1568="331")),"x","")</f>
        <v/>
      </c>
      <c r="Q1568" s="47" t="str">
        <f>IF(AND(B1568='111'!$L$11,OR($N1568=$Q$7,$O1568=$Q$7)),"x","")</f>
        <v/>
      </c>
      <c r="R1568" s="47" t="str">
        <f>IF(AND($N1568=$Q$7,$B1568&lt;'111'!$L$11),"x","")</f>
        <v/>
      </c>
      <c r="S1568" s="47" t="str">
        <f>IF(AND($O1568=$Q$7,$B1568&lt;'111'!$L$11),"x","")</f>
        <v>x</v>
      </c>
    </row>
    <row r="1569" spans="1:19" ht="15.75" customHeight="1">
      <c r="A1569" s="152" t="str">
        <f>IF(B1569&lt;&gt;"",IF(AND(B1569='IN-TC'!$S$4,OR(TH!N1569="1111",TH!O1569="1111")),TH!D1569,""),"")</f>
        <v/>
      </c>
      <c r="B1569" s="34">
        <f t="shared" si="56"/>
        <v>9</v>
      </c>
      <c r="C1569" s="35">
        <f t="shared" si="57"/>
        <v>42632</v>
      </c>
      <c r="D1569" s="212" t="s">
        <v>927</v>
      </c>
      <c r="E1569" s="35">
        <v>42632</v>
      </c>
      <c r="F1569" s="144" t="s">
        <v>722</v>
      </c>
      <c r="G1569" s="191"/>
      <c r="H1569" s="198"/>
      <c r="I1569" s="186"/>
      <c r="J1569" s="186"/>
      <c r="K1569" s="185"/>
      <c r="L1569" s="186"/>
      <c r="M1569" s="36">
        <v>964000</v>
      </c>
      <c r="N1569" s="37"/>
      <c r="O1569" s="37" t="s">
        <v>34</v>
      </c>
      <c r="P1569" s="47" t="str">
        <f>IF(AND('331-CT'!$F$5=TH!H1569,OR(N1569="331",O1569="331")),"x","")</f>
        <v/>
      </c>
      <c r="Q1569" s="47" t="str">
        <f>IF(AND(B1569='111'!$L$11,OR($N1569=$Q$7,$O1569=$Q$7)),"x","")</f>
        <v/>
      </c>
      <c r="R1569" s="47" t="str">
        <f>IF(AND($N1569=$Q$7,$B1569&lt;'111'!$L$11),"x","")</f>
        <v/>
      </c>
      <c r="S1569" s="47" t="str">
        <f>IF(AND($O1569=$Q$7,$B1569&lt;'111'!$L$11),"x","")</f>
        <v>x</v>
      </c>
    </row>
    <row r="1570" spans="1:19" ht="15.75" customHeight="1">
      <c r="A1570" s="152" t="str">
        <f>IF(B1570&lt;&gt;"",IF(AND(B1570='IN-TC'!$S$4,OR(TH!N1570="1111",TH!O1570="1111")),TH!D1570,""),"")</f>
        <v/>
      </c>
      <c r="B1570" s="34">
        <f t="shared" si="56"/>
        <v>9</v>
      </c>
      <c r="C1570" s="35">
        <f t="shared" si="57"/>
        <v>42632</v>
      </c>
      <c r="D1570" s="212" t="s">
        <v>928</v>
      </c>
      <c r="E1570" s="35">
        <v>42632</v>
      </c>
      <c r="F1570" s="144" t="s">
        <v>1229</v>
      </c>
      <c r="G1570" s="191"/>
      <c r="H1570" s="198"/>
      <c r="I1570" s="186"/>
      <c r="J1570" s="186"/>
      <c r="K1570" s="185"/>
      <c r="L1570" s="186"/>
      <c r="M1570" s="36">
        <v>900000</v>
      </c>
      <c r="N1570" s="37"/>
      <c r="O1570" s="37" t="s">
        <v>34</v>
      </c>
      <c r="P1570" s="47" t="str">
        <f>IF(AND('331-CT'!$F$5=TH!H1570,OR(N1570="331",O1570="331")),"x","")</f>
        <v/>
      </c>
      <c r="Q1570" s="47" t="str">
        <f>IF(AND(B1570='111'!$L$11,OR($N1570=$Q$7,$O1570=$Q$7)),"x","")</f>
        <v/>
      </c>
      <c r="R1570" s="47" t="str">
        <f>IF(AND($N1570=$Q$7,$B1570&lt;'111'!$L$11),"x","")</f>
        <v/>
      </c>
      <c r="S1570" s="47" t="str">
        <f>IF(AND($O1570=$Q$7,$B1570&lt;'111'!$L$11),"x","")</f>
        <v>x</v>
      </c>
    </row>
    <row r="1571" spans="1:19" ht="15.75" customHeight="1">
      <c r="A1571" s="152" t="str">
        <f>IF(B1571&lt;&gt;"",IF(AND(B1571='IN-TC'!$S$4,OR(TH!N1571="1111",TH!O1571="1111")),TH!D1571,""),"")</f>
        <v/>
      </c>
      <c r="B1571" s="34">
        <f t="shared" si="56"/>
        <v>9</v>
      </c>
      <c r="C1571" s="35">
        <f t="shared" si="57"/>
        <v>42632</v>
      </c>
      <c r="D1571" s="212" t="s">
        <v>1012</v>
      </c>
      <c r="E1571" s="35">
        <v>42632</v>
      </c>
      <c r="F1571" s="144" t="s">
        <v>1230</v>
      </c>
      <c r="G1571" s="191" t="s">
        <v>110</v>
      </c>
      <c r="H1571" s="198"/>
      <c r="I1571" s="186"/>
      <c r="J1571" s="186"/>
      <c r="K1571" s="185"/>
      <c r="L1571" s="186"/>
      <c r="M1571" s="36">
        <v>5000000</v>
      </c>
      <c r="N1571" s="37" t="s">
        <v>34</v>
      </c>
      <c r="O1571" s="37"/>
      <c r="P1571" s="47" t="str">
        <f>IF(AND('331-CT'!$F$5=TH!H1571,OR(N1571="331",O1571="331")),"x","")</f>
        <v/>
      </c>
      <c r="Q1571" s="47" t="str">
        <f>IF(AND(B1571='111'!$L$11,OR($N1571=$Q$7,$O1571=$Q$7)),"x","")</f>
        <v/>
      </c>
      <c r="R1571" s="47" t="str">
        <f>IF(AND($N1571=$Q$7,$B1571&lt;'111'!$L$11),"x","")</f>
        <v>x</v>
      </c>
      <c r="S1571" s="47" t="str">
        <f>IF(AND($O1571=$Q$7,$B1571&lt;'111'!$L$11),"x","")</f>
        <v/>
      </c>
    </row>
    <row r="1572" spans="1:19" ht="15.75" customHeight="1">
      <c r="A1572" s="152" t="str">
        <f>IF(B1572&lt;&gt;"",IF(AND(B1572='IN-TC'!$S$4,OR(TH!N1572="1111",TH!O1572="1111")),TH!D1572,""),"")</f>
        <v/>
      </c>
      <c r="B1572" s="34">
        <f t="shared" si="56"/>
        <v>9</v>
      </c>
      <c r="C1572" s="35">
        <f t="shared" si="57"/>
        <v>42632</v>
      </c>
      <c r="D1572" s="212" t="s">
        <v>929</v>
      </c>
      <c r="E1572" s="35">
        <v>42632</v>
      </c>
      <c r="F1572" s="144" t="s">
        <v>1231</v>
      </c>
      <c r="G1572" s="191"/>
      <c r="H1572" s="198"/>
      <c r="I1572" s="186"/>
      <c r="J1572" s="186"/>
      <c r="K1572" s="185"/>
      <c r="L1572" s="186"/>
      <c r="M1572" s="36">
        <v>2646000</v>
      </c>
      <c r="N1572" s="37"/>
      <c r="O1572" s="37" t="s">
        <v>34</v>
      </c>
      <c r="P1572" s="47" t="str">
        <f>IF(AND('331-CT'!$F$5=TH!H1572,OR(N1572="331",O1572="331")),"x","")</f>
        <v/>
      </c>
      <c r="Q1572" s="47" t="str">
        <f>IF(AND(B1572='111'!$L$11,OR($N1572=$Q$7,$O1572=$Q$7)),"x","")</f>
        <v/>
      </c>
      <c r="R1572" s="47" t="str">
        <f>IF(AND($N1572=$Q$7,$B1572&lt;'111'!$L$11),"x","")</f>
        <v/>
      </c>
      <c r="S1572" s="47" t="str">
        <f>IF(AND($O1572=$Q$7,$B1572&lt;'111'!$L$11),"x","")</f>
        <v>x</v>
      </c>
    </row>
    <row r="1573" spans="1:19" ht="15.75" customHeight="1">
      <c r="A1573" s="152" t="str">
        <f>IF(B1573&lt;&gt;"",IF(AND(B1573='IN-TC'!$S$4,OR(TH!N1573="1111",TH!O1573="1111")),TH!D1573,""),"")</f>
        <v/>
      </c>
      <c r="B1573" s="34">
        <f t="shared" si="56"/>
        <v>9</v>
      </c>
      <c r="C1573" s="35">
        <f t="shared" si="57"/>
        <v>42632</v>
      </c>
      <c r="D1573" s="212" t="s">
        <v>1013</v>
      </c>
      <c r="E1573" s="35">
        <v>42632</v>
      </c>
      <c r="F1573" s="144" t="s">
        <v>159</v>
      </c>
      <c r="G1573" s="191" t="s">
        <v>115</v>
      </c>
      <c r="H1573" s="198"/>
      <c r="I1573" s="186"/>
      <c r="J1573" s="186"/>
      <c r="K1573" s="185"/>
      <c r="L1573" s="186"/>
      <c r="M1573" s="36">
        <v>4986000</v>
      </c>
      <c r="N1573" s="37" t="s">
        <v>34</v>
      </c>
      <c r="O1573" s="37"/>
      <c r="P1573" s="47" t="str">
        <f>IF(AND('331-CT'!$F$5=TH!H1573,OR(N1573="331",O1573="331")),"x","")</f>
        <v/>
      </c>
      <c r="Q1573" s="47" t="str">
        <f>IF(AND(B1573='111'!$L$11,OR($N1573=$Q$7,$O1573=$Q$7)),"x","")</f>
        <v/>
      </c>
      <c r="R1573" s="47" t="str">
        <f>IF(AND($N1573=$Q$7,$B1573&lt;'111'!$L$11),"x","")</f>
        <v>x</v>
      </c>
      <c r="S1573" s="47" t="str">
        <f>IF(AND($O1573=$Q$7,$B1573&lt;'111'!$L$11),"x","")</f>
        <v/>
      </c>
    </row>
    <row r="1574" spans="1:19" ht="15.75" customHeight="1">
      <c r="A1574" s="152" t="str">
        <f>IF(B1574&lt;&gt;"",IF(AND(B1574='IN-TC'!$S$4,OR(TH!N1574="1111",TH!O1574="1111")),TH!D1574,""),"")</f>
        <v/>
      </c>
      <c r="B1574" s="34">
        <f t="shared" si="56"/>
        <v>9</v>
      </c>
      <c r="C1574" s="35">
        <f t="shared" si="57"/>
        <v>42632</v>
      </c>
      <c r="D1574" s="212" t="s">
        <v>940</v>
      </c>
      <c r="E1574" s="35">
        <v>42632</v>
      </c>
      <c r="F1574" s="144" t="s">
        <v>1234</v>
      </c>
      <c r="G1574" s="191"/>
      <c r="H1574" s="198"/>
      <c r="I1574" s="186"/>
      <c r="J1574" s="186"/>
      <c r="K1574" s="185"/>
      <c r="L1574" s="186"/>
      <c r="M1574" s="36">
        <v>1275000</v>
      </c>
      <c r="N1574" s="37"/>
      <c r="O1574" s="37" t="s">
        <v>34</v>
      </c>
      <c r="P1574" s="47" t="str">
        <f>IF(AND('331-CT'!$F$5=TH!H1574,OR(N1574="331",O1574="331")),"x","")</f>
        <v/>
      </c>
      <c r="Q1574" s="47" t="str">
        <f>IF(AND(B1574='111'!$L$11,OR($N1574=$Q$7,$O1574=$Q$7)),"x","")</f>
        <v/>
      </c>
      <c r="R1574" s="47" t="str">
        <f>IF(AND($N1574=$Q$7,$B1574&lt;'111'!$L$11),"x","")</f>
        <v/>
      </c>
      <c r="S1574" s="47" t="str">
        <f>IF(AND($O1574=$Q$7,$B1574&lt;'111'!$L$11),"x","")</f>
        <v>x</v>
      </c>
    </row>
    <row r="1575" spans="1:19" ht="15.75" customHeight="1">
      <c r="A1575" s="152" t="str">
        <f>IF(B1575&lt;&gt;"",IF(AND(B1575='IN-TC'!$S$4,OR(TH!N1575="1111",TH!O1575="1111")),TH!D1575,""),"")</f>
        <v/>
      </c>
      <c r="B1575" s="34">
        <f t="shared" si="56"/>
        <v>9</v>
      </c>
      <c r="C1575" s="35">
        <f t="shared" si="57"/>
        <v>42632</v>
      </c>
      <c r="D1575" s="212"/>
      <c r="E1575" s="35">
        <v>42632</v>
      </c>
      <c r="F1575" s="144" t="s">
        <v>1464</v>
      </c>
      <c r="G1575" s="191"/>
      <c r="H1575" s="198" t="s">
        <v>821</v>
      </c>
      <c r="I1575" s="186">
        <v>969</v>
      </c>
      <c r="J1575" s="186">
        <v>20000</v>
      </c>
      <c r="K1575" s="185"/>
      <c r="L1575" s="186"/>
      <c r="M1575" s="36">
        <f>ROUND(I1575*J1575,0)</f>
        <v>19380000</v>
      </c>
      <c r="N1575" s="37" t="s">
        <v>1443</v>
      </c>
      <c r="O1575" s="37" t="s">
        <v>8</v>
      </c>
      <c r="P1575" s="47" t="str">
        <f>IF(AND('331-CT'!$F$5=TH!H1575,OR(N1575="331",O1575="331")),"x","")</f>
        <v/>
      </c>
      <c r="Q1575" s="47" t="str">
        <f>IF(AND(B1575='111'!$L$11,OR($N1575=$Q$7,$O1575=$Q$7)),"x","")</f>
        <v/>
      </c>
      <c r="R1575" s="47" t="str">
        <f>IF(AND($N1575=$Q$7,$B1575&lt;'111'!$L$11),"x","")</f>
        <v/>
      </c>
      <c r="S1575" s="47" t="str">
        <f>IF(AND($O1575=$Q$7,$B1575&lt;'111'!$L$11),"x","")</f>
        <v/>
      </c>
    </row>
    <row r="1576" spans="1:19" ht="15.75" customHeight="1">
      <c r="A1576" s="152" t="str">
        <f>IF(B1576&lt;&gt;"",IF(AND(B1576='IN-TC'!$S$4,OR(TH!N1576="1111",TH!O1576="1111")),TH!D1576,""),"")</f>
        <v/>
      </c>
      <c r="B1576" s="34">
        <f t="shared" si="56"/>
        <v>9</v>
      </c>
      <c r="C1576" s="35">
        <f t="shared" si="57"/>
        <v>42632</v>
      </c>
      <c r="D1576" s="212"/>
      <c r="E1576" s="35">
        <v>42632</v>
      </c>
      <c r="F1576" s="144" t="s">
        <v>1473</v>
      </c>
      <c r="G1576" s="191"/>
      <c r="H1576" s="198" t="s">
        <v>821</v>
      </c>
      <c r="I1576" s="186">
        <v>116</v>
      </c>
      <c r="J1576" s="186">
        <v>24000</v>
      </c>
      <c r="K1576" s="185"/>
      <c r="L1576" s="186"/>
      <c r="M1576" s="36">
        <f>ROUND(I1576*J1576,0)</f>
        <v>2784000</v>
      </c>
      <c r="N1576" s="37" t="s">
        <v>1443</v>
      </c>
      <c r="O1576" s="37" t="s">
        <v>8</v>
      </c>
      <c r="P1576" s="47" t="str">
        <f>IF(AND('331-CT'!$F$5=TH!H1576,OR(N1576="331",O1576="331")),"x","")</f>
        <v/>
      </c>
      <c r="Q1576" s="47" t="str">
        <f>IF(AND(B1576='111'!$L$11,OR($N1576=$Q$7,$O1576=$Q$7)),"x","")</f>
        <v/>
      </c>
      <c r="R1576" s="47" t="str">
        <f>IF(AND($N1576=$Q$7,$B1576&lt;'111'!$L$11),"x","")</f>
        <v/>
      </c>
      <c r="S1576" s="47" t="str">
        <f>IF(AND($O1576=$Q$7,$B1576&lt;'111'!$L$11),"x","")</f>
        <v/>
      </c>
    </row>
    <row r="1577" spans="1:19" ht="15.75" customHeight="1">
      <c r="A1577" s="152" t="str">
        <f>IF(B1577&lt;&gt;"",IF(AND(B1577='IN-TC'!$S$4,OR(TH!N1577="1111",TH!O1577="1111")),TH!D1577,""),"")</f>
        <v/>
      </c>
      <c r="B1577" s="34">
        <f t="shared" si="56"/>
        <v>9</v>
      </c>
      <c r="C1577" s="35">
        <f t="shared" si="57"/>
        <v>42632</v>
      </c>
      <c r="D1577" s="212"/>
      <c r="E1577" s="35">
        <v>42632</v>
      </c>
      <c r="F1577" s="144" t="s">
        <v>1474</v>
      </c>
      <c r="G1577" s="191"/>
      <c r="H1577" s="198" t="s">
        <v>821</v>
      </c>
      <c r="I1577" s="186"/>
      <c r="J1577" s="186"/>
      <c r="K1577" s="185"/>
      <c r="L1577" s="186"/>
      <c r="M1577" s="36">
        <v>2100000</v>
      </c>
      <c r="N1577" s="37" t="s">
        <v>1443</v>
      </c>
      <c r="O1577" s="37" t="s">
        <v>8</v>
      </c>
      <c r="P1577" s="47" t="str">
        <f>IF(AND('331-CT'!$F$5=TH!H1577,OR(N1577="331",O1577="331")),"x","")</f>
        <v/>
      </c>
      <c r="Q1577" s="47" t="str">
        <f>IF(AND(B1577='111'!$L$11,OR($N1577=$Q$7,$O1577=$Q$7)),"x","")</f>
        <v/>
      </c>
      <c r="R1577" s="47" t="str">
        <f>IF(AND($N1577=$Q$7,$B1577&lt;'111'!$L$11),"x","")</f>
        <v/>
      </c>
      <c r="S1577" s="47" t="str">
        <f>IF(AND($O1577=$Q$7,$B1577&lt;'111'!$L$11),"x","")</f>
        <v/>
      </c>
    </row>
    <row r="1578" spans="1:19" ht="15.75" customHeight="1">
      <c r="A1578" s="152" t="str">
        <f>IF(B1578&lt;&gt;"",IF(AND(B1578='IN-TC'!$S$4,OR(TH!N1578="1111",TH!O1578="1111")),TH!D1578,""),"")</f>
        <v/>
      </c>
      <c r="B1578" s="34">
        <f t="shared" si="56"/>
        <v>9</v>
      </c>
      <c r="C1578" s="35">
        <f t="shared" si="57"/>
        <v>42632</v>
      </c>
      <c r="D1578" s="212"/>
      <c r="E1578" s="35">
        <v>42632</v>
      </c>
      <c r="F1578" s="144" t="s">
        <v>1469</v>
      </c>
      <c r="G1578" s="191"/>
      <c r="H1578" s="198" t="s">
        <v>1419</v>
      </c>
      <c r="I1578" s="186">
        <v>1344</v>
      </c>
      <c r="J1578" s="186">
        <v>16000</v>
      </c>
      <c r="K1578" s="185"/>
      <c r="L1578" s="186"/>
      <c r="M1578" s="36">
        <f>ROUND(I1578*J1578,-3)</f>
        <v>21504000</v>
      </c>
      <c r="N1578" s="37" t="s">
        <v>1443</v>
      </c>
      <c r="O1578" s="37" t="s">
        <v>8</v>
      </c>
      <c r="P1578" s="47" t="str">
        <f>IF(AND('331-CT'!$F$5=TH!H1578,OR(N1578="331",O1578="331")),"x","")</f>
        <v/>
      </c>
      <c r="Q1578" s="47" t="str">
        <f>IF(AND(B1578='111'!$L$11,OR($N1578=$Q$7,$O1578=$Q$7)),"x","")</f>
        <v/>
      </c>
      <c r="R1578" s="47" t="str">
        <f>IF(AND($N1578=$Q$7,$B1578&lt;'111'!$L$11),"x","")</f>
        <v/>
      </c>
      <c r="S1578" s="47" t="str">
        <f>IF(AND($O1578=$Q$7,$B1578&lt;'111'!$L$11),"x","")</f>
        <v/>
      </c>
    </row>
    <row r="1579" spans="1:19" ht="15.75" customHeight="1">
      <c r="A1579" s="152" t="str">
        <f>IF(B1579&lt;&gt;"",IF(AND(B1579='IN-TC'!$S$4,OR(TH!N1579="1111",TH!O1579="1111")),TH!D1579,""),"")</f>
        <v/>
      </c>
      <c r="B1579" s="34">
        <f t="shared" si="56"/>
        <v>9</v>
      </c>
      <c r="C1579" s="35">
        <f t="shared" si="57"/>
        <v>42633</v>
      </c>
      <c r="D1579" s="212" t="s">
        <v>941</v>
      </c>
      <c r="E1579" s="35">
        <v>42633</v>
      </c>
      <c r="F1579" s="144" t="s">
        <v>1235</v>
      </c>
      <c r="G1579" s="191"/>
      <c r="H1579" s="198"/>
      <c r="I1579" s="186"/>
      <c r="J1579" s="186"/>
      <c r="K1579" s="185"/>
      <c r="L1579" s="186"/>
      <c r="M1579" s="36">
        <v>800000</v>
      </c>
      <c r="N1579" s="37"/>
      <c r="O1579" s="37" t="s">
        <v>34</v>
      </c>
      <c r="P1579" s="47" t="str">
        <f>IF(AND('331-CT'!$F$5=TH!H1579,OR(N1579="331",O1579="331")),"x","")</f>
        <v/>
      </c>
      <c r="Q1579" s="47" t="str">
        <f>IF(AND(B1579='111'!$L$11,OR($N1579=$Q$7,$O1579=$Q$7)),"x","")</f>
        <v/>
      </c>
      <c r="R1579" s="47" t="str">
        <f>IF(AND($N1579=$Q$7,$B1579&lt;'111'!$L$11),"x","")</f>
        <v/>
      </c>
      <c r="S1579" s="47" t="str">
        <f>IF(AND($O1579=$Q$7,$B1579&lt;'111'!$L$11),"x","")</f>
        <v>x</v>
      </c>
    </row>
    <row r="1580" spans="1:19" ht="15.75" customHeight="1">
      <c r="A1580" s="152" t="str">
        <f>IF(B1580&lt;&gt;"",IF(AND(B1580='IN-TC'!$S$4,OR(TH!N1580="1111",TH!O1580="1111")),TH!D1580,""),"")</f>
        <v/>
      </c>
      <c r="B1580" s="34">
        <f t="shared" si="56"/>
        <v>9</v>
      </c>
      <c r="C1580" s="35">
        <f t="shared" si="57"/>
        <v>42634</v>
      </c>
      <c r="D1580" s="212" t="s">
        <v>1014</v>
      </c>
      <c r="E1580" s="35">
        <v>42634</v>
      </c>
      <c r="F1580" s="144" t="s">
        <v>1236</v>
      </c>
      <c r="G1580" s="191"/>
      <c r="H1580" s="198"/>
      <c r="I1580" s="186"/>
      <c r="J1580" s="186"/>
      <c r="K1580" s="185"/>
      <c r="L1580" s="186"/>
      <c r="M1580" s="36">
        <v>167818000</v>
      </c>
      <c r="N1580" s="37" t="s">
        <v>34</v>
      </c>
      <c r="O1580" s="37"/>
      <c r="P1580" s="47" t="str">
        <f>IF(AND('331-CT'!$F$5=TH!H1580,OR(N1580="331",O1580="331")),"x","")</f>
        <v/>
      </c>
      <c r="Q1580" s="47" t="str">
        <f>IF(AND(B1580='111'!$L$11,OR($N1580=$Q$7,$O1580=$Q$7)),"x","")</f>
        <v/>
      </c>
      <c r="R1580" s="47" t="str">
        <f>IF(AND($N1580=$Q$7,$B1580&lt;'111'!$L$11),"x","")</f>
        <v>x</v>
      </c>
      <c r="S1580" s="47" t="str">
        <f>IF(AND($O1580=$Q$7,$B1580&lt;'111'!$L$11),"x","")</f>
        <v/>
      </c>
    </row>
    <row r="1581" spans="1:19" ht="15.75" customHeight="1">
      <c r="A1581" s="152" t="str">
        <f>IF(B1581&lt;&gt;"",IF(AND(B1581='IN-TC'!$S$4,OR(TH!N1581="1111",TH!O1581="1111")),TH!D1581,""),"")</f>
        <v/>
      </c>
      <c r="B1581" s="34">
        <f t="shared" si="56"/>
        <v>9</v>
      </c>
      <c r="C1581" s="35">
        <f t="shared" si="57"/>
        <v>42634</v>
      </c>
      <c r="D1581" s="212" t="s">
        <v>942</v>
      </c>
      <c r="E1581" s="35">
        <v>42634</v>
      </c>
      <c r="F1581" s="144" t="s">
        <v>1392</v>
      </c>
      <c r="G1581" s="191" t="s">
        <v>206</v>
      </c>
      <c r="H1581" s="198" t="s">
        <v>1393</v>
      </c>
      <c r="I1581" s="186"/>
      <c r="J1581" s="186"/>
      <c r="K1581" s="185"/>
      <c r="L1581" s="186"/>
      <c r="M1581" s="36">
        <v>167818000</v>
      </c>
      <c r="N1581" s="37" t="s">
        <v>35</v>
      </c>
      <c r="O1581" s="37" t="s">
        <v>34</v>
      </c>
      <c r="P1581" s="47" t="str">
        <f>IF(AND('331-CT'!$F$5=TH!H1581,OR(N1581="331",O1581="331")),"x","")</f>
        <v/>
      </c>
      <c r="Q1581" s="47" t="str">
        <f>IF(AND(B1581='111'!$L$11,OR($N1581=$Q$7,$O1581=$Q$7)),"x","")</f>
        <v/>
      </c>
      <c r="R1581" s="47" t="str">
        <f>IF(AND($N1581=$Q$7,$B1581&lt;'111'!$L$11),"x","")</f>
        <v/>
      </c>
      <c r="S1581" s="47" t="str">
        <f>IF(AND($O1581=$Q$7,$B1581&lt;'111'!$L$11),"x","")</f>
        <v>x</v>
      </c>
    </row>
    <row r="1582" spans="1:19" ht="15.75" customHeight="1">
      <c r="A1582" s="152" t="str">
        <f>IF(B1582&lt;&gt;"",IF(AND(B1582='IN-TC'!$S$4,OR(TH!N1582="1111",TH!O1582="1111")),TH!D1582,""),"")</f>
        <v/>
      </c>
      <c r="B1582" s="34">
        <f t="shared" si="56"/>
        <v>9</v>
      </c>
      <c r="C1582" s="35">
        <f t="shared" si="57"/>
        <v>42634</v>
      </c>
      <c r="D1582" s="212" t="s">
        <v>943</v>
      </c>
      <c r="E1582" s="35">
        <v>42634</v>
      </c>
      <c r="F1582" s="144" t="s">
        <v>1237</v>
      </c>
      <c r="G1582" s="191" t="s">
        <v>207</v>
      </c>
      <c r="H1582" s="198"/>
      <c r="I1582" s="186"/>
      <c r="J1582" s="186"/>
      <c r="K1582" s="185"/>
      <c r="L1582" s="186"/>
      <c r="M1582" s="36">
        <v>500000</v>
      </c>
      <c r="N1582" s="37"/>
      <c r="O1582" s="37" t="s">
        <v>34</v>
      </c>
      <c r="P1582" s="47" t="str">
        <f>IF(AND('331-CT'!$F$5=TH!H1582,OR(N1582="331",O1582="331")),"x","")</f>
        <v/>
      </c>
      <c r="Q1582" s="47" t="str">
        <f>IF(AND(B1582='111'!$L$11,OR($N1582=$Q$7,$O1582=$Q$7)),"x","")</f>
        <v/>
      </c>
      <c r="R1582" s="47" t="str">
        <f>IF(AND($N1582=$Q$7,$B1582&lt;'111'!$L$11),"x","")</f>
        <v/>
      </c>
      <c r="S1582" s="47" t="str">
        <f>IF(AND($O1582=$Q$7,$B1582&lt;'111'!$L$11),"x","")</f>
        <v>x</v>
      </c>
    </row>
    <row r="1583" spans="1:19" ht="15.75" customHeight="1">
      <c r="A1583" s="152" t="str">
        <f>IF(B1583&lt;&gt;"",IF(AND(B1583='IN-TC'!$S$4,OR(TH!N1583="1111",TH!O1583="1111")),TH!D1583,""),"")</f>
        <v/>
      </c>
      <c r="B1583" s="34">
        <f t="shared" si="56"/>
        <v>9</v>
      </c>
      <c r="C1583" s="35">
        <f t="shared" si="57"/>
        <v>42634</v>
      </c>
      <c r="D1583" s="212" t="s">
        <v>944</v>
      </c>
      <c r="E1583" s="35">
        <v>42634</v>
      </c>
      <c r="F1583" s="144" t="s">
        <v>1238</v>
      </c>
      <c r="G1583" s="191" t="s">
        <v>110</v>
      </c>
      <c r="H1583" s="198"/>
      <c r="I1583" s="186"/>
      <c r="J1583" s="186"/>
      <c r="K1583" s="185"/>
      <c r="L1583" s="186"/>
      <c r="M1583" s="36">
        <v>2000000</v>
      </c>
      <c r="N1583" s="37"/>
      <c r="O1583" s="37" t="s">
        <v>34</v>
      </c>
      <c r="P1583" s="47" t="str">
        <f>IF(AND('331-CT'!$F$5=TH!H1583,OR(N1583="331",O1583="331")),"x","")</f>
        <v/>
      </c>
      <c r="Q1583" s="47" t="str">
        <f>IF(AND(B1583='111'!$L$11,OR($N1583=$Q$7,$O1583=$Q$7)),"x","")</f>
        <v/>
      </c>
      <c r="R1583" s="47" t="str">
        <f>IF(AND($N1583=$Q$7,$B1583&lt;'111'!$L$11),"x","")</f>
        <v/>
      </c>
      <c r="S1583" s="47" t="str">
        <f>IF(AND($O1583=$Q$7,$B1583&lt;'111'!$L$11),"x","")</f>
        <v>x</v>
      </c>
    </row>
    <row r="1584" spans="1:19" ht="15.75" customHeight="1">
      <c r="A1584" s="152" t="str">
        <f>IF(B1584&lt;&gt;"",IF(AND(B1584='IN-TC'!$S$4,OR(TH!N1584="1111",TH!O1584="1111")),TH!D1584,""),"")</f>
        <v/>
      </c>
      <c r="B1584" s="34">
        <f t="shared" si="56"/>
        <v>9</v>
      </c>
      <c r="C1584" s="35">
        <f t="shared" si="57"/>
        <v>42634</v>
      </c>
      <c r="D1584" s="212" t="s">
        <v>945</v>
      </c>
      <c r="E1584" s="35">
        <v>42634</v>
      </c>
      <c r="F1584" s="144" t="s">
        <v>1239</v>
      </c>
      <c r="G1584" s="191" t="s">
        <v>204</v>
      </c>
      <c r="H1584" s="198"/>
      <c r="I1584" s="186"/>
      <c r="J1584" s="186"/>
      <c r="K1584" s="185"/>
      <c r="L1584" s="186"/>
      <c r="M1584" s="36">
        <v>660000</v>
      </c>
      <c r="N1584" s="37"/>
      <c r="O1584" s="37" t="s">
        <v>34</v>
      </c>
      <c r="P1584" s="47" t="str">
        <f>IF(AND('331-CT'!$F$5=TH!H1584,OR(N1584="331",O1584="331")),"x","")</f>
        <v/>
      </c>
      <c r="Q1584" s="47" t="str">
        <f>IF(AND(B1584='111'!$L$11,OR($N1584=$Q$7,$O1584=$Q$7)),"x","")</f>
        <v/>
      </c>
      <c r="R1584" s="47" t="str">
        <f>IF(AND($N1584=$Q$7,$B1584&lt;'111'!$L$11),"x","")</f>
        <v/>
      </c>
      <c r="S1584" s="47" t="str">
        <f>IF(AND($O1584=$Q$7,$B1584&lt;'111'!$L$11),"x","")</f>
        <v>x</v>
      </c>
    </row>
    <row r="1585" spans="1:19" ht="15.75" customHeight="1">
      <c r="A1585" s="152" t="str">
        <f>IF(B1585&lt;&gt;"",IF(AND(B1585='IN-TC'!$S$4,OR(TH!N1585="1111",TH!O1585="1111")),TH!D1585,""),"")</f>
        <v/>
      </c>
      <c r="B1585" s="34">
        <f t="shared" si="56"/>
        <v>9</v>
      </c>
      <c r="C1585" s="35">
        <f t="shared" si="57"/>
        <v>42634</v>
      </c>
      <c r="D1585" s="212" t="s">
        <v>946</v>
      </c>
      <c r="E1585" s="35">
        <v>42634</v>
      </c>
      <c r="F1585" s="144" t="s">
        <v>1240</v>
      </c>
      <c r="G1585" s="191"/>
      <c r="H1585" s="198"/>
      <c r="I1585" s="186"/>
      <c r="J1585" s="186"/>
      <c r="K1585" s="185"/>
      <c r="L1585" s="186"/>
      <c r="M1585" s="36">
        <v>250000</v>
      </c>
      <c r="N1585" s="37"/>
      <c r="O1585" s="37" t="s">
        <v>34</v>
      </c>
      <c r="P1585" s="47" t="str">
        <f>IF(AND('331-CT'!$F$5=TH!H1585,OR(N1585="331",O1585="331")),"x","")</f>
        <v/>
      </c>
      <c r="Q1585" s="47" t="str">
        <f>IF(AND(B1585='111'!$L$11,OR($N1585=$Q$7,$O1585=$Q$7)),"x","")</f>
        <v/>
      </c>
      <c r="R1585" s="47" t="str">
        <f>IF(AND($N1585=$Q$7,$B1585&lt;'111'!$L$11),"x","")</f>
        <v/>
      </c>
      <c r="S1585" s="47" t="str">
        <f>IF(AND($O1585=$Q$7,$B1585&lt;'111'!$L$11),"x","")</f>
        <v>x</v>
      </c>
    </row>
    <row r="1586" spans="1:19" ht="15.75" customHeight="1">
      <c r="A1586" s="152" t="str">
        <f>IF(B1586&lt;&gt;"",IF(AND(B1586='IN-TC'!$S$4,OR(TH!N1586="1111",TH!O1586="1111")),TH!D1586,""),"")</f>
        <v/>
      </c>
      <c r="B1586" s="34">
        <f t="shared" si="56"/>
        <v>9</v>
      </c>
      <c r="C1586" s="35">
        <f t="shared" si="57"/>
        <v>42634</v>
      </c>
      <c r="D1586" s="212" t="s">
        <v>1015</v>
      </c>
      <c r="E1586" s="35">
        <v>42634</v>
      </c>
      <c r="F1586" s="144" t="s">
        <v>1241</v>
      </c>
      <c r="G1586" s="191" t="s">
        <v>115</v>
      </c>
      <c r="H1586" s="198"/>
      <c r="I1586" s="186"/>
      <c r="J1586" s="186"/>
      <c r="K1586" s="185"/>
      <c r="L1586" s="186"/>
      <c r="M1586" s="36">
        <v>10000000</v>
      </c>
      <c r="N1586" s="37" t="s">
        <v>34</v>
      </c>
      <c r="O1586" s="37"/>
      <c r="P1586" s="47" t="str">
        <f>IF(AND('331-CT'!$F$5=TH!H1586,OR(N1586="331",O1586="331")),"x","")</f>
        <v/>
      </c>
      <c r="Q1586" s="47" t="str">
        <f>IF(AND(B1586='111'!$L$11,OR($N1586=$Q$7,$O1586=$Q$7)),"x","")</f>
        <v/>
      </c>
      <c r="R1586" s="47" t="str">
        <f>IF(AND($N1586=$Q$7,$B1586&lt;'111'!$L$11),"x","")</f>
        <v>x</v>
      </c>
      <c r="S1586" s="47" t="str">
        <f>IF(AND($O1586=$Q$7,$B1586&lt;'111'!$L$11),"x","")</f>
        <v/>
      </c>
    </row>
    <row r="1587" spans="1:19" ht="15.75" customHeight="1">
      <c r="A1587" s="152" t="str">
        <f>IF(B1587&lt;&gt;"",IF(AND(B1587='IN-TC'!$S$4,OR(TH!N1587="1111",TH!O1587="1111")),TH!D1587,""),"")</f>
        <v/>
      </c>
      <c r="B1587" s="34">
        <f t="shared" si="56"/>
        <v>9</v>
      </c>
      <c r="C1587" s="35">
        <f t="shared" si="57"/>
        <v>42634</v>
      </c>
      <c r="D1587" s="212" t="s">
        <v>1029</v>
      </c>
      <c r="E1587" s="35">
        <v>42634</v>
      </c>
      <c r="F1587" s="144" t="s">
        <v>1191</v>
      </c>
      <c r="G1587" s="191" t="s">
        <v>104</v>
      </c>
      <c r="H1587" s="198"/>
      <c r="I1587" s="186"/>
      <c r="J1587" s="186"/>
      <c r="K1587" s="185"/>
      <c r="L1587" s="186"/>
      <c r="M1587" s="36">
        <v>3300000000</v>
      </c>
      <c r="N1587" s="37" t="s">
        <v>34</v>
      </c>
      <c r="O1587" s="37"/>
      <c r="P1587" s="47" t="str">
        <f>IF(AND('331-CT'!$F$5=TH!H1587,OR(N1587="331",O1587="331")),"x","")</f>
        <v/>
      </c>
      <c r="Q1587" s="47" t="str">
        <f>IF(AND(B1587='111'!$L$11,OR($N1587=$Q$7,$O1587=$Q$7)),"x","")</f>
        <v/>
      </c>
      <c r="R1587" s="47" t="str">
        <f>IF(AND($N1587=$Q$7,$B1587&lt;'111'!$L$11),"x","")</f>
        <v>x</v>
      </c>
      <c r="S1587" s="47" t="str">
        <f>IF(AND($O1587=$Q$7,$B1587&lt;'111'!$L$11),"x","")</f>
        <v/>
      </c>
    </row>
    <row r="1588" spans="1:19" ht="15.75" customHeight="1">
      <c r="A1588" s="152" t="str">
        <f>IF(B1588&lt;&gt;"",IF(AND(B1588='IN-TC'!$S$4,OR(TH!N1588="1111",TH!O1588="1111")),TH!D1588,""),"")</f>
        <v/>
      </c>
      <c r="B1588" s="34">
        <f t="shared" si="56"/>
        <v>9</v>
      </c>
      <c r="C1588" s="35">
        <f t="shared" si="57"/>
        <v>42634</v>
      </c>
      <c r="D1588" s="212" t="s">
        <v>947</v>
      </c>
      <c r="E1588" s="35">
        <v>42634</v>
      </c>
      <c r="F1588" s="144" t="s">
        <v>1210</v>
      </c>
      <c r="G1588" s="191" t="s">
        <v>1432</v>
      </c>
      <c r="H1588" s="198"/>
      <c r="I1588" s="186"/>
      <c r="J1588" s="186"/>
      <c r="K1588" s="185"/>
      <c r="L1588" s="186"/>
      <c r="M1588" s="36">
        <v>3300145000</v>
      </c>
      <c r="N1588" s="37"/>
      <c r="O1588" s="37" t="s">
        <v>34</v>
      </c>
      <c r="P1588" s="47" t="str">
        <f>IF(AND('331-CT'!$F$5=TH!H1588,OR(N1588="331",O1588="331")),"x","")</f>
        <v/>
      </c>
      <c r="Q1588" s="47" t="str">
        <f>IF(AND(B1588='111'!$L$11,OR($N1588=$Q$7,$O1588=$Q$7)),"x","")</f>
        <v/>
      </c>
      <c r="R1588" s="47" t="str">
        <f>IF(AND($N1588=$Q$7,$B1588&lt;'111'!$L$11),"x","")</f>
        <v/>
      </c>
      <c r="S1588" s="47" t="str">
        <f>IF(AND($O1588=$Q$7,$B1588&lt;'111'!$L$11),"x","")</f>
        <v>x</v>
      </c>
    </row>
    <row r="1589" spans="1:19" ht="15.75" customHeight="1">
      <c r="A1589" s="152" t="str">
        <f>IF(B1589&lt;&gt;"",IF(AND(B1589='IN-TC'!$S$4,OR(TH!N1589="1111",TH!O1589="1111")),TH!D1589,""),"")</f>
        <v/>
      </c>
      <c r="B1589" s="34">
        <f t="shared" si="56"/>
        <v>9</v>
      </c>
      <c r="C1589" s="35">
        <f t="shared" si="57"/>
        <v>42634</v>
      </c>
      <c r="D1589" s="212" t="s">
        <v>948</v>
      </c>
      <c r="E1589" s="35">
        <v>42634</v>
      </c>
      <c r="F1589" s="144" t="s">
        <v>1242</v>
      </c>
      <c r="G1589" s="191" t="s">
        <v>213</v>
      </c>
      <c r="H1589" s="198" t="s">
        <v>1088</v>
      </c>
      <c r="I1589" s="186"/>
      <c r="J1589" s="186"/>
      <c r="K1589" s="185"/>
      <c r="L1589" s="186"/>
      <c r="M1589" s="36">
        <v>8940000</v>
      </c>
      <c r="N1589" s="37"/>
      <c r="O1589" s="37" t="s">
        <v>34</v>
      </c>
      <c r="P1589" s="47" t="str">
        <f>IF(AND('331-CT'!$F$5=TH!H1589,OR(N1589="331",O1589="331")),"x","")</f>
        <v/>
      </c>
      <c r="Q1589" s="47" t="str">
        <f>IF(AND(B1589='111'!$L$11,OR($N1589=$Q$7,$O1589=$Q$7)),"x","")</f>
        <v/>
      </c>
      <c r="R1589" s="47" t="str">
        <f>IF(AND($N1589=$Q$7,$B1589&lt;'111'!$L$11),"x","")</f>
        <v/>
      </c>
      <c r="S1589" s="47" t="str">
        <f>IF(AND($O1589=$Q$7,$B1589&lt;'111'!$L$11),"x","")</f>
        <v>x</v>
      </c>
    </row>
    <row r="1590" spans="1:19" ht="15.75" customHeight="1">
      <c r="A1590" s="152" t="str">
        <f>IF(B1590&lt;&gt;"",IF(AND(B1590='IN-TC'!$S$4,OR(TH!N1590="1111",TH!O1590="1111")),TH!D1590,""),"")</f>
        <v/>
      </c>
      <c r="B1590" s="34">
        <f t="shared" si="56"/>
        <v>9</v>
      </c>
      <c r="C1590" s="35">
        <f t="shared" si="57"/>
        <v>42634</v>
      </c>
      <c r="D1590" s="212"/>
      <c r="E1590" s="35">
        <v>42634</v>
      </c>
      <c r="F1590" s="144" t="s">
        <v>1508</v>
      </c>
      <c r="G1590" s="191"/>
      <c r="H1590" s="198" t="s">
        <v>848</v>
      </c>
      <c r="I1590" s="186">
        <v>4706</v>
      </c>
      <c r="J1590" s="186">
        <v>48000</v>
      </c>
      <c r="K1590" s="185"/>
      <c r="L1590" s="186"/>
      <c r="M1590" s="36">
        <f>ROUND(I1590*J1590,-3)</f>
        <v>225888000</v>
      </c>
      <c r="N1590" s="37" t="s">
        <v>1443</v>
      </c>
      <c r="O1590" s="37" t="s">
        <v>8</v>
      </c>
      <c r="P1590" s="47" t="str">
        <f>IF(AND('331-CT'!$F$5=TH!H1590,OR(N1590="331",O1590="331")),"x","")</f>
        <v/>
      </c>
      <c r="Q1590" s="47" t="str">
        <f>IF(AND(B1590='111'!$L$11,OR($N1590=$Q$7,$O1590=$Q$7)),"x","")</f>
        <v/>
      </c>
      <c r="R1590" s="47" t="str">
        <f>IF(AND($N1590=$Q$7,$B1590&lt;'111'!$L$11),"x","")</f>
        <v/>
      </c>
      <c r="S1590" s="47" t="str">
        <f>IF(AND($O1590=$Q$7,$B1590&lt;'111'!$L$11),"x","")</f>
        <v/>
      </c>
    </row>
    <row r="1591" spans="1:19" ht="15.75" customHeight="1">
      <c r="A1591" s="152" t="str">
        <f>IF(B1591&lt;&gt;"",IF(AND(B1591='IN-TC'!$S$4,OR(TH!N1591="1111",TH!O1591="1111")),TH!D1591,""),"")</f>
        <v/>
      </c>
      <c r="B1591" s="34">
        <f t="shared" si="56"/>
        <v>9</v>
      </c>
      <c r="C1591" s="35">
        <f t="shared" si="57"/>
        <v>42634</v>
      </c>
      <c r="D1591" s="212"/>
      <c r="E1591" s="35">
        <v>42634</v>
      </c>
      <c r="F1591" s="144" t="s">
        <v>1521</v>
      </c>
      <c r="G1591" s="191"/>
      <c r="H1591" s="198" t="s">
        <v>848</v>
      </c>
      <c r="I1591" s="186">
        <v>290</v>
      </c>
      <c r="J1591" s="186">
        <v>48000</v>
      </c>
      <c r="K1591" s="185"/>
      <c r="L1591" s="186"/>
      <c r="M1591" s="36">
        <f>ROUND(I1591*J1591,-3)</f>
        <v>13920000</v>
      </c>
      <c r="N1591" s="37" t="s">
        <v>1443</v>
      </c>
      <c r="O1591" s="37" t="s">
        <v>8</v>
      </c>
      <c r="P1591" s="47" t="str">
        <f>IF(AND('331-CT'!$F$5=TH!H1591,OR(N1591="331",O1591="331")),"x","")</f>
        <v/>
      </c>
      <c r="Q1591" s="47" t="str">
        <f>IF(AND(B1591='111'!$L$11,OR($N1591=$Q$7,$O1591=$Q$7)),"x","")</f>
        <v/>
      </c>
      <c r="R1591" s="47" t="str">
        <f>IF(AND($N1591=$Q$7,$B1591&lt;'111'!$L$11),"x","")</f>
        <v/>
      </c>
      <c r="S1591" s="47" t="str">
        <f>IF(AND($O1591=$Q$7,$B1591&lt;'111'!$L$11),"x","")</f>
        <v/>
      </c>
    </row>
    <row r="1592" spans="1:19" ht="15.75" customHeight="1">
      <c r="A1592" s="152" t="str">
        <f>IF(B1592&lt;&gt;"",IF(AND(B1592='IN-TC'!$S$4,OR(TH!N1592="1111",TH!O1592="1111")),TH!D1592,""),"")</f>
        <v/>
      </c>
      <c r="B1592" s="34">
        <f t="shared" si="56"/>
        <v>9</v>
      </c>
      <c r="C1592" s="35">
        <f t="shared" si="57"/>
        <v>42635</v>
      </c>
      <c r="D1592" s="212" t="s">
        <v>1030</v>
      </c>
      <c r="E1592" s="35">
        <v>42635</v>
      </c>
      <c r="F1592" s="144" t="s">
        <v>1243</v>
      </c>
      <c r="G1592" s="191" t="s">
        <v>105</v>
      </c>
      <c r="H1592" s="198" t="s">
        <v>1434</v>
      </c>
      <c r="I1592" s="186"/>
      <c r="J1592" s="186"/>
      <c r="K1592" s="185"/>
      <c r="L1592" s="186"/>
      <c r="M1592" s="36">
        <v>50000000</v>
      </c>
      <c r="N1592" s="37" t="s">
        <v>34</v>
      </c>
      <c r="O1592" s="37" t="s">
        <v>812</v>
      </c>
      <c r="P1592" s="47" t="str">
        <f>IF(AND('331-CT'!$F$5=TH!H1592,OR(N1592="331",O1592="331")),"x","")</f>
        <v/>
      </c>
      <c r="Q1592" s="47" t="str">
        <f>IF(AND(B1592='111'!$L$11,OR($N1592=$Q$7,$O1592=$Q$7)),"x","")</f>
        <v/>
      </c>
      <c r="R1592" s="47" t="str">
        <f>IF(AND($N1592=$Q$7,$B1592&lt;'111'!$L$11),"x","")</f>
        <v>x</v>
      </c>
      <c r="S1592" s="47" t="str">
        <f>IF(AND($O1592=$Q$7,$B1592&lt;'111'!$L$11),"x","")</f>
        <v/>
      </c>
    </row>
    <row r="1593" spans="1:19" ht="15.75" customHeight="1">
      <c r="A1593" s="152" t="str">
        <f>IF(B1593&lt;&gt;"",IF(AND(B1593='IN-TC'!$S$4,OR(TH!N1593="1111",TH!O1593="1111")),TH!D1593,""),"")</f>
        <v/>
      </c>
      <c r="B1593" s="34">
        <f t="shared" si="56"/>
        <v>9</v>
      </c>
      <c r="C1593" s="35">
        <f t="shared" si="57"/>
        <v>42635</v>
      </c>
      <c r="D1593" s="212" t="s">
        <v>949</v>
      </c>
      <c r="E1593" s="35">
        <v>42635</v>
      </c>
      <c r="F1593" s="144" t="s">
        <v>1244</v>
      </c>
      <c r="G1593" s="191"/>
      <c r="H1593" s="198"/>
      <c r="I1593" s="186"/>
      <c r="J1593" s="186"/>
      <c r="K1593" s="185"/>
      <c r="L1593" s="186"/>
      <c r="M1593" s="36">
        <v>50000000</v>
      </c>
      <c r="N1593" s="37"/>
      <c r="O1593" s="37" t="s">
        <v>34</v>
      </c>
      <c r="P1593" s="47" t="str">
        <f>IF(AND('331-CT'!$F$5=TH!H1593,OR(N1593="331",O1593="331")),"x","")</f>
        <v/>
      </c>
      <c r="Q1593" s="47" t="str">
        <f>IF(AND(B1593='111'!$L$11,OR($N1593=$Q$7,$O1593=$Q$7)),"x","")</f>
        <v/>
      </c>
      <c r="R1593" s="47" t="str">
        <f>IF(AND($N1593=$Q$7,$B1593&lt;'111'!$L$11),"x","")</f>
        <v/>
      </c>
      <c r="S1593" s="47" t="str">
        <f>IF(AND($O1593=$Q$7,$B1593&lt;'111'!$L$11),"x","")</f>
        <v>x</v>
      </c>
    </row>
    <row r="1594" spans="1:19" ht="15.75" customHeight="1">
      <c r="A1594" s="152" t="str">
        <f>IF(B1594&lt;&gt;"",IF(AND(B1594='IN-TC'!$S$4,OR(TH!N1594="1111",TH!O1594="1111")),TH!D1594,""),"")</f>
        <v/>
      </c>
      <c r="B1594" s="34">
        <f t="shared" si="56"/>
        <v>9</v>
      </c>
      <c r="C1594" s="35">
        <f t="shared" si="57"/>
        <v>42635</v>
      </c>
      <c r="D1594" s="212" t="s">
        <v>1031</v>
      </c>
      <c r="E1594" s="35">
        <v>42635</v>
      </c>
      <c r="F1594" s="144" t="s">
        <v>1245</v>
      </c>
      <c r="G1594" s="191" t="s">
        <v>1429</v>
      </c>
      <c r="H1594" s="198" t="s">
        <v>1435</v>
      </c>
      <c r="I1594" s="186"/>
      <c r="J1594" s="186"/>
      <c r="K1594" s="185"/>
      <c r="L1594" s="186"/>
      <c r="M1594" s="36">
        <v>59940000</v>
      </c>
      <c r="N1594" s="37" t="s">
        <v>34</v>
      </c>
      <c r="O1594" s="37"/>
      <c r="P1594" s="47" t="str">
        <f>IF(AND('331-CT'!$F$5=TH!H1594,OR(N1594="331",O1594="331")),"x","")</f>
        <v/>
      </c>
      <c r="Q1594" s="47" t="str">
        <f>IF(AND(B1594='111'!$L$11,OR($N1594=$Q$7,$O1594=$Q$7)),"x","")</f>
        <v/>
      </c>
      <c r="R1594" s="47" t="str">
        <f>IF(AND($N1594=$Q$7,$B1594&lt;'111'!$L$11),"x","")</f>
        <v>x</v>
      </c>
      <c r="S1594" s="47" t="str">
        <f>IF(AND($O1594=$Q$7,$B1594&lt;'111'!$L$11),"x","")</f>
        <v/>
      </c>
    </row>
    <row r="1595" spans="1:19" ht="15.75" customHeight="1">
      <c r="A1595" s="152" t="str">
        <f>IF(B1595&lt;&gt;"",IF(AND(B1595='IN-TC'!$S$4,OR(TH!N1595="1111",TH!O1595="1111")),TH!D1595,""),"")</f>
        <v/>
      </c>
      <c r="B1595" s="34">
        <f t="shared" si="56"/>
        <v>9</v>
      </c>
      <c r="C1595" s="35">
        <f t="shared" si="57"/>
        <v>42635</v>
      </c>
      <c r="D1595" s="212" t="s">
        <v>950</v>
      </c>
      <c r="E1595" s="35">
        <v>42635</v>
      </c>
      <c r="F1595" s="144" t="s">
        <v>1391</v>
      </c>
      <c r="G1595" s="191" t="s">
        <v>206</v>
      </c>
      <c r="H1595" s="198" t="s">
        <v>1128</v>
      </c>
      <c r="I1595" s="186"/>
      <c r="J1595" s="186"/>
      <c r="K1595" s="185"/>
      <c r="L1595" s="186"/>
      <c r="M1595" s="36">
        <v>10017000</v>
      </c>
      <c r="N1595" s="37" t="s">
        <v>8</v>
      </c>
      <c r="O1595" s="37" t="s">
        <v>34</v>
      </c>
      <c r="P1595" s="47" t="str">
        <f>IF(AND('331-CT'!$F$5=TH!H1595,OR(N1595="331",O1595="331")),"x","")</f>
        <v/>
      </c>
      <c r="Q1595" s="47" t="str">
        <f>IF(AND(B1595='111'!$L$11,OR($N1595=$Q$7,$O1595=$Q$7)),"x","")</f>
        <v/>
      </c>
      <c r="R1595" s="47" t="str">
        <f>IF(AND($N1595=$Q$7,$B1595&lt;'111'!$L$11),"x","")</f>
        <v/>
      </c>
      <c r="S1595" s="47" t="str">
        <f>IF(AND($O1595=$Q$7,$B1595&lt;'111'!$L$11),"x","")</f>
        <v>x</v>
      </c>
    </row>
    <row r="1596" spans="1:19" ht="15.75" customHeight="1">
      <c r="A1596" s="152" t="str">
        <f>IF(B1596&lt;&gt;"",IF(AND(B1596='IN-TC'!$S$4,OR(TH!N1596="1111",TH!O1596="1111")),TH!D1596,""),"")</f>
        <v/>
      </c>
      <c r="B1596" s="34">
        <f t="shared" si="56"/>
        <v>9</v>
      </c>
      <c r="C1596" s="35">
        <f t="shared" si="57"/>
        <v>42635</v>
      </c>
      <c r="D1596" s="212" t="s">
        <v>951</v>
      </c>
      <c r="E1596" s="35">
        <v>42635</v>
      </c>
      <c r="F1596" s="144" t="s">
        <v>1246</v>
      </c>
      <c r="G1596" s="191"/>
      <c r="H1596" s="198"/>
      <c r="I1596" s="186"/>
      <c r="J1596" s="186"/>
      <c r="K1596" s="185"/>
      <c r="L1596" s="186"/>
      <c r="M1596" s="36">
        <v>17655000</v>
      </c>
      <c r="N1596" s="37"/>
      <c r="O1596" s="37" t="s">
        <v>34</v>
      </c>
      <c r="P1596" s="47" t="str">
        <f>IF(AND('331-CT'!$F$5=TH!H1596,OR(N1596="331",O1596="331")),"x","")</f>
        <v/>
      </c>
      <c r="Q1596" s="47" t="str">
        <f>IF(AND(B1596='111'!$L$11,OR($N1596=$Q$7,$O1596=$Q$7)),"x","")</f>
        <v/>
      </c>
      <c r="R1596" s="47" t="str">
        <f>IF(AND($N1596=$Q$7,$B1596&lt;'111'!$L$11),"x","")</f>
        <v/>
      </c>
      <c r="S1596" s="47" t="str">
        <f>IF(AND($O1596=$Q$7,$B1596&lt;'111'!$L$11),"x","")</f>
        <v>x</v>
      </c>
    </row>
    <row r="1597" spans="1:19" ht="15.75" customHeight="1">
      <c r="A1597" s="152" t="str">
        <f>IF(B1597&lt;&gt;"",IF(AND(B1597='IN-TC'!$S$4,OR(TH!N1597="1111",TH!O1597="1111")),TH!D1597,""),"")</f>
        <v/>
      </c>
      <c r="B1597" s="34">
        <f t="shared" si="56"/>
        <v>9</v>
      </c>
      <c r="C1597" s="35">
        <f t="shared" si="57"/>
        <v>42635</v>
      </c>
      <c r="D1597" s="212" t="s">
        <v>952</v>
      </c>
      <c r="E1597" s="35">
        <v>42635</v>
      </c>
      <c r="F1597" s="144" t="s">
        <v>1247</v>
      </c>
      <c r="G1597" s="191"/>
      <c r="H1597" s="198"/>
      <c r="I1597" s="186"/>
      <c r="J1597" s="186"/>
      <c r="K1597" s="185"/>
      <c r="L1597" s="186"/>
      <c r="M1597" s="36">
        <v>700000</v>
      </c>
      <c r="N1597" s="37"/>
      <c r="O1597" s="37" t="s">
        <v>34</v>
      </c>
      <c r="P1597" s="47" t="str">
        <f>IF(AND('331-CT'!$F$5=TH!H1597,OR(N1597="331",O1597="331")),"x","")</f>
        <v/>
      </c>
      <c r="Q1597" s="47" t="str">
        <f>IF(AND(B1597='111'!$L$11,OR($N1597=$Q$7,$O1597=$Q$7)),"x","")</f>
        <v/>
      </c>
      <c r="R1597" s="47" t="str">
        <f>IF(AND($N1597=$Q$7,$B1597&lt;'111'!$L$11),"x","")</f>
        <v/>
      </c>
      <c r="S1597" s="47" t="str">
        <f>IF(AND($O1597=$Q$7,$B1597&lt;'111'!$L$11),"x","")</f>
        <v>x</v>
      </c>
    </row>
    <row r="1598" spans="1:19" ht="15.75" customHeight="1">
      <c r="A1598" s="152" t="str">
        <f>IF(B1598&lt;&gt;"",IF(AND(B1598='IN-TC'!$S$4,OR(TH!N1598="1111",TH!O1598="1111")),TH!D1598,""),"")</f>
        <v/>
      </c>
      <c r="B1598" s="34">
        <f t="shared" si="56"/>
        <v>9</v>
      </c>
      <c r="C1598" s="35">
        <f t="shared" si="57"/>
        <v>42635</v>
      </c>
      <c r="D1598" s="212" t="s">
        <v>953</v>
      </c>
      <c r="E1598" s="35">
        <v>42635</v>
      </c>
      <c r="F1598" s="144" t="s">
        <v>1248</v>
      </c>
      <c r="G1598" s="191"/>
      <c r="H1598" s="198"/>
      <c r="I1598" s="186"/>
      <c r="J1598" s="186"/>
      <c r="K1598" s="185"/>
      <c r="L1598" s="186"/>
      <c r="M1598" s="36">
        <v>500000</v>
      </c>
      <c r="N1598" s="37"/>
      <c r="O1598" s="37" t="s">
        <v>34</v>
      </c>
      <c r="P1598" s="47" t="str">
        <f>IF(AND('331-CT'!$F$5=TH!H1598,OR(N1598="331",O1598="331")),"x","")</f>
        <v/>
      </c>
      <c r="Q1598" s="47" t="str">
        <f>IF(AND(B1598='111'!$L$11,OR($N1598=$Q$7,$O1598=$Q$7)),"x","")</f>
        <v/>
      </c>
      <c r="R1598" s="47" t="str">
        <f>IF(AND($N1598=$Q$7,$B1598&lt;'111'!$L$11),"x","")</f>
        <v/>
      </c>
      <c r="S1598" s="47" t="str">
        <f>IF(AND($O1598=$Q$7,$B1598&lt;'111'!$L$11),"x","")</f>
        <v>x</v>
      </c>
    </row>
    <row r="1599" spans="1:19" ht="15.75" customHeight="1">
      <c r="A1599" s="152" t="str">
        <f>IF(B1599&lt;&gt;"",IF(AND(B1599='IN-TC'!$S$4,OR(TH!N1599="1111",TH!O1599="1111")),TH!D1599,""),"")</f>
        <v/>
      </c>
      <c r="B1599" s="34">
        <f t="shared" si="56"/>
        <v>9</v>
      </c>
      <c r="C1599" s="35">
        <f t="shared" si="57"/>
        <v>42635</v>
      </c>
      <c r="D1599" s="212"/>
      <c r="E1599" s="35">
        <v>42635</v>
      </c>
      <c r="F1599" s="144" t="s">
        <v>1449</v>
      </c>
      <c r="G1599" s="191" t="s">
        <v>204</v>
      </c>
      <c r="H1599" s="7" t="s">
        <v>851</v>
      </c>
      <c r="I1599" s="186">
        <v>5520</v>
      </c>
      <c r="J1599" s="186">
        <v>52000</v>
      </c>
      <c r="K1599" s="185"/>
      <c r="L1599" s="186"/>
      <c r="M1599" s="36">
        <f>ROUND(I1599*J1599,0)</f>
        <v>287040000</v>
      </c>
      <c r="N1599" s="37" t="s">
        <v>1443</v>
      </c>
      <c r="O1599" s="37" t="s">
        <v>8</v>
      </c>
      <c r="P1599" s="47" t="str">
        <f>IF(AND('331-CT'!$F$5=TH!H1599,OR(N1599="331",O1599="331")),"x","")</f>
        <v/>
      </c>
      <c r="Q1599" s="47" t="str">
        <f>IF(AND(B1599='111'!$L$11,OR($N1599=$Q$7,$O1599=$Q$7)),"x","")</f>
        <v/>
      </c>
      <c r="R1599" s="47" t="str">
        <f>IF(AND($N1599=$Q$7,$B1599&lt;'111'!$L$11),"x","")</f>
        <v/>
      </c>
      <c r="S1599" s="47" t="str">
        <f>IF(AND($O1599=$Q$7,$B1599&lt;'111'!$L$11),"x","")</f>
        <v/>
      </c>
    </row>
    <row r="1600" spans="1:19" ht="15.75" customHeight="1">
      <c r="A1600" s="152" t="str">
        <f>IF(B1600&lt;&gt;"",IF(AND(B1600='IN-TC'!$S$4,OR(TH!N1600="1111",TH!O1600="1111")),TH!D1600,""),"")</f>
        <v/>
      </c>
      <c r="B1600" s="34">
        <f t="shared" si="56"/>
        <v>9</v>
      </c>
      <c r="C1600" s="35">
        <f t="shared" si="57"/>
        <v>42635</v>
      </c>
      <c r="D1600" s="212"/>
      <c r="E1600" s="35">
        <v>42635</v>
      </c>
      <c r="F1600" s="144" t="s">
        <v>1466</v>
      </c>
      <c r="G1600" s="191" t="s">
        <v>204</v>
      </c>
      <c r="H1600" s="198" t="s">
        <v>832</v>
      </c>
      <c r="I1600" s="186">
        <v>534</v>
      </c>
      <c r="J1600" s="186">
        <v>16000</v>
      </c>
      <c r="K1600" s="185"/>
      <c r="L1600" s="186"/>
      <c r="M1600" s="36">
        <f>ROUND(I1600*J1600,0)</f>
        <v>8544000</v>
      </c>
      <c r="N1600" s="37" t="s">
        <v>1443</v>
      </c>
      <c r="O1600" s="37" t="s">
        <v>8</v>
      </c>
      <c r="P1600" s="47" t="str">
        <f>IF(AND('331-CT'!$F$5=TH!H1600,OR(N1600="331",O1600="331")),"x","")</f>
        <v/>
      </c>
      <c r="Q1600" s="47" t="str">
        <f>IF(AND(B1600='111'!$L$11,OR($N1600=$Q$7,$O1600=$Q$7)),"x","")</f>
        <v/>
      </c>
      <c r="R1600" s="47" t="str">
        <f>IF(AND($N1600=$Q$7,$B1600&lt;'111'!$L$11),"x","")</f>
        <v/>
      </c>
      <c r="S1600" s="47" t="str">
        <f>IF(AND($O1600=$Q$7,$B1600&lt;'111'!$L$11),"x","")</f>
        <v/>
      </c>
    </row>
    <row r="1601" spans="1:19" ht="15.75" customHeight="1">
      <c r="A1601" s="152" t="str">
        <f>IF(B1601&lt;&gt;"",IF(AND(B1601='IN-TC'!$S$4,OR(TH!N1601="1111",TH!O1601="1111")),TH!D1601,""),"")</f>
        <v/>
      </c>
      <c r="B1601" s="34">
        <f t="shared" si="56"/>
        <v>9</v>
      </c>
      <c r="C1601" s="35">
        <f t="shared" si="57"/>
        <v>42635</v>
      </c>
      <c r="D1601" s="212"/>
      <c r="E1601" s="35">
        <v>42635</v>
      </c>
      <c r="F1601" s="144" t="s">
        <v>1520</v>
      </c>
      <c r="G1601" s="191"/>
      <c r="H1601" s="198" t="s">
        <v>848</v>
      </c>
      <c r="I1601" s="186">
        <v>2794.5</v>
      </c>
      <c r="J1601" s="186">
        <v>130000</v>
      </c>
      <c r="K1601" s="185"/>
      <c r="L1601" s="186"/>
      <c r="M1601" s="36">
        <f>ROUND(I1601*J1601,-3)</f>
        <v>363285000</v>
      </c>
      <c r="N1601" s="37" t="s">
        <v>1443</v>
      </c>
      <c r="O1601" s="37" t="s">
        <v>8</v>
      </c>
      <c r="P1601" s="47" t="str">
        <f>IF(AND('331-CT'!$F$5=TH!H1601,OR(N1601="331",O1601="331")),"x","")</f>
        <v/>
      </c>
      <c r="Q1601" s="47" t="str">
        <f>IF(AND(B1601='111'!$L$11,OR($N1601=$Q$7,$O1601=$Q$7)),"x","")</f>
        <v/>
      </c>
      <c r="R1601" s="47" t="str">
        <f>IF(AND($N1601=$Q$7,$B1601&lt;'111'!$L$11),"x","")</f>
        <v/>
      </c>
      <c r="S1601" s="47" t="str">
        <f>IF(AND($O1601=$Q$7,$B1601&lt;'111'!$L$11),"x","")</f>
        <v/>
      </c>
    </row>
    <row r="1602" spans="1:19" ht="15.75" customHeight="1">
      <c r="A1602" s="152" t="str">
        <f>IF(B1602&lt;&gt;"",IF(AND(B1602='IN-TC'!$S$4,OR(TH!N1602="1111",TH!O1602="1111")),TH!D1602,""),"")</f>
        <v/>
      </c>
      <c r="B1602" s="34">
        <f t="shared" si="56"/>
        <v>9</v>
      </c>
      <c r="C1602" s="35">
        <f t="shared" si="57"/>
        <v>42635</v>
      </c>
      <c r="D1602" s="212"/>
      <c r="E1602" s="35">
        <v>42635</v>
      </c>
      <c r="F1602" s="144" t="s">
        <v>1521</v>
      </c>
      <c r="G1602" s="191"/>
      <c r="H1602" s="198" t="s">
        <v>848</v>
      </c>
      <c r="I1602" s="186">
        <v>340</v>
      </c>
      <c r="J1602" s="186">
        <v>48000</v>
      </c>
      <c r="K1602" s="185"/>
      <c r="L1602" s="186"/>
      <c r="M1602" s="36">
        <f>ROUND(I1602*J1602,-3)</f>
        <v>16320000</v>
      </c>
      <c r="N1602" s="37" t="s">
        <v>8</v>
      </c>
      <c r="O1602" s="37" t="s">
        <v>1443</v>
      </c>
      <c r="P1602" s="47" t="str">
        <f>IF(AND('331-CT'!$F$5=TH!H1602,OR(N1602="331",O1602="331")),"x","")</f>
        <v/>
      </c>
      <c r="Q1602" s="47" t="str">
        <f>IF(AND(B1602='111'!$L$11,OR($N1602=$Q$7,$O1602=$Q$7)),"x","")</f>
        <v/>
      </c>
      <c r="R1602" s="47" t="str">
        <f>IF(AND($N1602=$Q$7,$B1602&lt;'111'!$L$11),"x","")</f>
        <v/>
      </c>
      <c r="S1602" s="47" t="str">
        <f>IF(AND($O1602=$Q$7,$B1602&lt;'111'!$L$11),"x","")</f>
        <v/>
      </c>
    </row>
    <row r="1603" spans="1:19" ht="15.75" customHeight="1">
      <c r="A1603" s="152" t="str">
        <f>IF(B1603&lt;&gt;"",IF(AND(B1603='IN-TC'!$S$4,OR(TH!N1603="1111",TH!O1603="1111")),TH!D1603,""),"")</f>
        <v/>
      </c>
      <c r="B1603" s="34">
        <f t="shared" si="56"/>
        <v>9</v>
      </c>
      <c r="C1603" s="35">
        <f t="shared" si="57"/>
        <v>42636</v>
      </c>
      <c r="D1603" s="212" t="s">
        <v>954</v>
      </c>
      <c r="E1603" s="35">
        <v>42636</v>
      </c>
      <c r="F1603" s="144" t="s">
        <v>1249</v>
      </c>
      <c r="G1603" s="191" t="s">
        <v>204</v>
      </c>
      <c r="H1603" s="198"/>
      <c r="I1603" s="186"/>
      <c r="J1603" s="186"/>
      <c r="K1603" s="185"/>
      <c r="L1603" s="186"/>
      <c r="M1603" s="36">
        <v>5000000</v>
      </c>
      <c r="N1603" s="37"/>
      <c r="O1603" s="37" t="s">
        <v>34</v>
      </c>
      <c r="P1603" s="47" t="str">
        <f>IF(AND('331-CT'!$F$5=TH!H1603,OR(N1603="331",O1603="331")),"x","")</f>
        <v/>
      </c>
      <c r="Q1603" s="47" t="str">
        <f>IF(AND(B1603='111'!$L$11,OR($N1603=$Q$7,$O1603=$Q$7)),"x","")</f>
        <v/>
      </c>
      <c r="R1603" s="47" t="str">
        <f>IF(AND($N1603=$Q$7,$B1603&lt;'111'!$L$11),"x","")</f>
        <v/>
      </c>
      <c r="S1603" s="47" t="str">
        <f>IF(AND($O1603=$Q$7,$B1603&lt;'111'!$L$11),"x","")</f>
        <v>x</v>
      </c>
    </row>
    <row r="1604" spans="1:19" ht="15.75" customHeight="1">
      <c r="A1604" s="152" t="str">
        <f>IF(B1604&lt;&gt;"",IF(AND(B1604='IN-TC'!$S$4,OR(TH!N1604="1111",TH!O1604="1111")),TH!D1604,""),"")</f>
        <v/>
      </c>
      <c r="B1604" s="34">
        <f t="shared" si="56"/>
        <v>9</v>
      </c>
      <c r="C1604" s="35">
        <f t="shared" si="57"/>
        <v>42636</v>
      </c>
      <c r="D1604" s="212" t="s">
        <v>955</v>
      </c>
      <c r="E1604" s="35">
        <v>42636</v>
      </c>
      <c r="F1604" s="144" t="s">
        <v>1250</v>
      </c>
      <c r="G1604" s="191"/>
      <c r="H1604" s="198"/>
      <c r="I1604" s="186"/>
      <c r="J1604" s="186"/>
      <c r="K1604" s="185"/>
      <c r="L1604" s="186"/>
      <c r="M1604" s="36">
        <v>1750000</v>
      </c>
      <c r="N1604" s="37"/>
      <c r="O1604" s="37" t="s">
        <v>34</v>
      </c>
      <c r="P1604" s="47" t="str">
        <f>IF(AND('331-CT'!$F$5=TH!H1604,OR(N1604="331",O1604="331")),"x","")</f>
        <v/>
      </c>
      <c r="Q1604" s="47" t="str">
        <f>IF(AND(B1604='111'!$L$11,OR($N1604=$Q$7,$O1604=$Q$7)),"x","")</f>
        <v/>
      </c>
      <c r="R1604" s="47" t="str">
        <f>IF(AND($N1604=$Q$7,$B1604&lt;'111'!$L$11),"x","")</f>
        <v/>
      </c>
      <c r="S1604" s="47" t="str">
        <f>IF(AND($O1604=$Q$7,$B1604&lt;'111'!$L$11),"x","")</f>
        <v>x</v>
      </c>
    </row>
    <row r="1605" spans="1:19" ht="15.75" customHeight="1">
      <c r="A1605" s="152" t="str">
        <f>IF(B1605&lt;&gt;"",IF(AND(B1605='IN-TC'!$S$4,OR(TH!N1605="1111",TH!O1605="1111")),TH!D1605,""),"")</f>
        <v/>
      </c>
      <c r="B1605" s="34">
        <f t="shared" si="56"/>
        <v>9</v>
      </c>
      <c r="C1605" s="35">
        <f t="shared" si="57"/>
        <v>42636</v>
      </c>
      <c r="D1605" s="212" t="s">
        <v>956</v>
      </c>
      <c r="E1605" s="35">
        <v>42636</v>
      </c>
      <c r="F1605" s="144" t="s">
        <v>1251</v>
      </c>
      <c r="G1605" s="191"/>
      <c r="H1605" s="198"/>
      <c r="I1605" s="186"/>
      <c r="J1605" s="186"/>
      <c r="K1605" s="185"/>
      <c r="L1605" s="186"/>
      <c r="M1605" s="36">
        <v>590000</v>
      </c>
      <c r="N1605" s="37"/>
      <c r="O1605" s="37" t="s">
        <v>34</v>
      </c>
      <c r="P1605" s="47" t="str">
        <f>IF(AND('331-CT'!$F$5=TH!H1605,OR(N1605="331",O1605="331")),"x","")</f>
        <v/>
      </c>
      <c r="Q1605" s="47" t="str">
        <f>IF(AND(B1605='111'!$L$11,OR($N1605=$Q$7,$O1605=$Q$7)),"x","")</f>
        <v/>
      </c>
      <c r="R1605" s="47" t="str">
        <f>IF(AND($N1605=$Q$7,$B1605&lt;'111'!$L$11),"x","")</f>
        <v/>
      </c>
      <c r="S1605" s="47" t="str">
        <f>IF(AND($O1605=$Q$7,$B1605&lt;'111'!$L$11),"x","")</f>
        <v>x</v>
      </c>
    </row>
    <row r="1606" spans="1:19" ht="15.75" customHeight="1">
      <c r="A1606" s="152" t="str">
        <f>IF(B1606&lt;&gt;"",IF(AND(B1606='IN-TC'!$S$4,OR(TH!N1606="1111",TH!O1606="1111")),TH!D1606,""),"")</f>
        <v/>
      </c>
      <c r="B1606" s="34">
        <f t="shared" si="56"/>
        <v>9</v>
      </c>
      <c r="C1606" s="35">
        <f t="shared" si="57"/>
        <v>42636</v>
      </c>
      <c r="D1606" s="212" t="s">
        <v>1032</v>
      </c>
      <c r="E1606" s="35">
        <v>42636</v>
      </c>
      <c r="F1606" s="144" t="s">
        <v>1252</v>
      </c>
      <c r="G1606" s="191" t="s">
        <v>110</v>
      </c>
      <c r="H1606" s="198"/>
      <c r="I1606" s="186"/>
      <c r="J1606" s="186"/>
      <c r="K1606" s="185"/>
      <c r="L1606" s="186"/>
      <c r="M1606" s="36">
        <v>2000000</v>
      </c>
      <c r="N1606" s="37" t="s">
        <v>34</v>
      </c>
      <c r="O1606" s="37"/>
      <c r="P1606" s="47" t="str">
        <f>IF(AND('331-CT'!$F$5=TH!H1606,OR(N1606="331",O1606="331")),"x","")</f>
        <v/>
      </c>
      <c r="Q1606" s="47" t="str">
        <f>IF(AND(B1606='111'!$L$11,OR($N1606=$Q$7,$O1606=$Q$7)),"x","")</f>
        <v/>
      </c>
      <c r="R1606" s="47" t="str">
        <f>IF(AND($N1606=$Q$7,$B1606&lt;'111'!$L$11),"x","")</f>
        <v>x</v>
      </c>
      <c r="S1606" s="47" t="str">
        <f>IF(AND($O1606=$Q$7,$B1606&lt;'111'!$L$11),"x","")</f>
        <v/>
      </c>
    </row>
    <row r="1607" spans="1:19" ht="15.75" customHeight="1">
      <c r="A1607" s="152" t="str">
        <f>IF(B1607&lt;&gt;"",IF(AND(B1607='IN-TC'!$S$4,OR(TH!N1607="1111",TH!O1607="1111")),TH!D1607,""),"")</f>
        <v/>
      </c>
      <c r="B1607" s="34">
        <f t="shared" si="56"/>
        <v>9</v>
      </c>
      <c r="C1607" s="35">
        <f t="shared" si="57"/>
        <v>42636</v>
      </c>
      <c r="D1607" s="212" t="s">
        <v>957</v>
      </c>
      <c r="E1607" s="35">
        <v>42636</v>
      </c>
      <c r="F1607" s="144" t="s">
        <v>1253</v>
      </c>
      <c r="G1607" s="191"/>
      <c r="H1607" s="198"/>
      <c r="I1607" s="186"/>
      <c r="J1607" s="186"/>
      <c r="K1607" s="185"/>
      <c r="L1607" s="186"/>
      <c r="M1607" s="36">
        <v>4261000</v>
      </c>
      <c r="N1607" s="37"/>
      <c r="O1607" s="37" t="s">
        <v>34</v>
      </c>
      <c r="P1607" s="47" t="str">
        <f>IF(AND('331-CT'!$F$5=TH!H1607,OR(N1607="331",O1607="331")),"x","")</f>
        <v/>
      </c>
      <c r="Q1607" s="47" t="str">
        <f>IF(AND(B1607='111'!$L$11,OR($N1607=$Q$7,$O1607=$Q$7)),"x","")</f>
        <v/>
      </c>
      <c r="R1607" s="47" t="str">
        <f>IF(AND($N1607=$Q$7,$B1607&lt;'111'!$L$11),"x","")</f>
        <v/>
      </c>
      <c r="S1607" s="47" t="str">
        <f>IF(AND($O1607=$Q$7,$B1607&lt;'111'!$L$11),"x","")</f>
        <v>x</v>
      </c>
    </row>
    <row r="1608" spans="1:19" ht="15.75" customHeight="1">
      <c r="A1608" s="152" t="str">
        <f>IF(B1608&lt;&gt;"",IF(AND(B1608='IN-TC'!$S$4,OR(TH!N1608="1111",TH!O1608="1111")),TH!D1608,""),"")</f>
        <v/>
      </c>
      <c r="B1608" s="34">
        <f t="shared" si="56"/>
        <v>9</v>
      </c>
      <c r="C1608" s="35">
        <f t="shared" si="57"/>
        <v>42636</v>
      </c>
      <c r="D1608" s="212" t="s">
        <v>958</v>
      </c>
      <c r="E1608" s="35">
        <v>42636</v>
      </c>
      <c r="F1608" s="144" t="s">
        <v>1254</v>
      </c>
      <c r="G1608" s="191"/>
      <c r="H1608" s="198"/>
      <c r="I1608" s="186"/>
      <c r="J1608" s="186"/>
      <c r="K1608" s="185"/>
      <c r="L1608" s="186"/>
      <c r="M1608" s="36">
        <v>500000</v>
      </c>
      <c r="N1608" s="37"/>
      <c r="O1608" s="37" t="s">
        <v>34</v>
      </c>
      <c r="P1608" s="47" t="str">
        <f>IF(AND('331-CT'!$F$5=TH!H1608,OR(N1608="331",O1608="331")),"x","")</f>
        <v/>
      </c>
      <c r="Q1608" s="47" t="str">
        <f>IF(AND(B1608='111'!$L$11,OR($N1608=$Q$7,$O1608=$Q$7)),"x","")</f>
        <v/>
      </c>
      <c r="R1608" s="47" t="str">
        <f>IF(AND($N1608=$Q$7,$B1608&lt;'111'!$L$11),"x","")</f>
        <v/>
      </c>
      <c r="S1608" s="47" t="str">
        <f>IF(AND($O1608=$Q$7,$B1608&lt;'111'!$L$11),"x","")</f>
        <v>x</v>
      </c>
    </row>
    <row r="1609" spans="1:19" ht="15.75" customHeight="1">
      <c r="A1609" s="152" t="str">
        <f>IF(B1609&lt;&gt;"",IF(AND(B1609='IN-TC'!$S$4,OR(TH!N1609="1111",TH!O1609="1111")),TH!D1609,""),"")</f>
        <v/>
      </c>
      <c r="B1609" s="34">
        <f t="shared" si="56"/>
        <v>9</v>
      </c>
      <c r="C1609" s="35">
        <f t="shared" si="57"/>
        <v>42637</v>
      </c>
      <c r="D1609" s="212" t="s">
        <v>1064</v>
      </c>
      <c r="E1609" s="35">
        <v>42637</v>
      </c>
      <c r="F1609" s="144" t="s">
        <v>1255</v>
      </c>
      <c r="G1609" s="191" t="s">
        <v>105</v>
      </c>
      <c r="H1609" s="198" t="s">
        <v>1436</v>
      </c>
      <c r="I1609" s="186"/>
      <c r="J1609" s="186"/>
      <c r="K1609" s="185"/>
      <c r="L1609" s="186"/>
      <c r="M1609" s="36">
        <v>1000000000</v>
      </c>
      <c r="N1609" s="37" t="s">
        <v>34</v>
      </c>
      <c r="O1609" s="37" t="s">
        <v>812</v>
      </c>
      <c r="P1609" s="47" t="str">
        <f>IF(AND('331-CT'!$F$5=TH!H1609,OR(N1609="331",O1609="331")),"x","")</f>
        <v/>
      </c>
      <c r="Q1609" s="47" t="str">
        <f>IF(AND(B1609='111'!$L$11,OR($N1609=$Q$7,$O1609=$Q$7)),"x","")</f>
        <v/>
      </c>
      <c r="R1609" s="47" t="str">
        <f>IF(AND($N1609=$Q$7,$B1609&lt;'111'!$L$11),"x","")</f>
        <v>x</v>
      </c>
      <c r="S1609" s="47" t="str">
        <f>IF(AND($O1609=$Q$7,$B1609&lt;'111'!$L$11),"x","")</f>
        <v/>
      </c>
    </row>
    <row r="1610" spans="1:19" ht="15.75" customHeight="1">
      <c r="A1610" s="152" t="str">
        <f>IF(B1610&lt;&gt;"",IF(AND(B1610='IN-TC'!$S$4,OR(TH!N1610="1111",TH!O1610="1111")),TH!D1610,""),"")</f>
        <v/>
      </c>
      <c r="B1610" s="34">
        <f t="shared" si="56"/>
        <v>9</v>
      </c>
      <c r="C1610" s="35">
        <f t="shared" si="57"/>
        <v>42637</v>
      </c>
      <c r="D1610" s="212" t="s">
        <v>959</v>
      </c>
      <c r="E1610" s="35">
        <v>42637</v>
      </c>
      <c r="F1610" s="144" t="s">
        <v>1256</v>
      </c>
      <c r="G1610" s="191" t="s">
        <v>114</v>
      </c>
      <c r="H1610" s="198"/>
      <c r="I1610" s="186"/>
      <c r="J1610" s="186"/>
      <c r="K1610" s="185"/>
      <c r="L1610" s="186"/>
      <c r="M1610" s="36">
        <v>180000000</v>
      </c>
      <c r="N1610" s="37"/>
      <c r="O1610" s="37" t="s">
        <v>34</v>
      </c>
      <c r="P1610" s="47" t="str">
        <f>IF(AND('331-CT'!$F$5=TH!H1610,OR(N1610="331",O1610="331")),"x","")</f>
        <v/>
      </c>
      <c r="Q1610" s="47" t="str">
        <f>IF(AND(B1610='111'!$L$11,OR($N1610=$Q$7,$O1610=$Q$7)),"x","")</f>
        <v/>
      </c>
      <c r="R1610" s="47" t="str">
        <f>IF(AND($N1610=$Q$7,$B1610&lt;'111'!$L$11),"x","")</f>
        <v/>
      </c>
      <c r="S1610" s="47" t="str">
        <f>IF(AND($O1610=$Q$7,$B1610&lt;'111'!$L$11),"x","")</f>
        <v>x</v>
      </c>
    </row>
    <row r="1611" spans="1:19" ht="15.75" customHeight="1">
      <c r="A1611" s="152" t="str">
        <f>IF(B1611&lt;&gt;"",IF(AND(B1611='IN-TC'!$S$4,OR(TH!N1611="1111",TH!O1611="1111")),TH!D1611,""),"")</f>
        <v/>
      </c>
      <c r="B1611" s="34">
        <f t="shared" si="56"/>
        <v>9</v>
      </c>
      <c r="C1611" s="35">
        <f t="shared" si="57"/>
        <v>42637</v>
      </c>
      <c r="D1611" s="212" t="s">
        <v>960</v>
      </c>
      <c r="E1611" s="35">
        <v>42637</v>
      </c>
      <c r="F1611" s="144" t="s">
        <v>1257</v>
      </c>
      <c r="G1611" s="191" t="s">
        <v>105</v>
      </c>
      <c r="H1611" s="198" t="s">
        <v>1414</v>
      </c>
      <c r="I1611" s="186"/>
      <c r="J1611" s="186"/>
      <c r="K1611" s="185"/>
      <c r="L1611" s="186"/>
      <c r="M1611" s="36">
        <v>200000000</v>
      </c>
      <c r="N1611" s="37" t="s">
        <v>812</v>
      </c>
      <c r="O1611" s="37" t="s">
        <v>34</v>
      </c>
      <c r="P1611" s="47" t="str">
        <f>IF(AND('331-CT'!$F$5=TH!H1611,OR(N1611="331",O1611="331")),"x","")</f>
        <v/>
      </c>
      <c r="Q1611" s="47" t="str">
        <f>IF(AND(B1611='111'!$L$11,OR($N1611=$Q$7,$O1611=$Q$7)),"x","")</f>
        <v/>
      </c>
      <c r="R1611" s="47" t="str">
        <f>IF(AND($N1611=$Q$7,$B1611&lt;'111'!$L$11),"x","")</f>
        <v/>
      </c>
      <c r="S1611" s="47" t="str">
        <f>IF(AND($O1611=$Q$7,$B1611&lt;'111'!$L$11),"x","")</f>
        <v>x</v>
      </c>
    </row>
    <row r="1612" spans="1:19" ht="15.75" customHeight="1">
      <c r="A1612" s="152" t="str">
        <f>IF(B1612&lt;&gt;"",IF(AND(B1612='IN-TC'!$S$4,OR(TH!N1612="1111",TH!O1612="1111")),TH!D1612,""),"")</f>
        <v/>
      </c>
      <c r="B1612" s="34">
        <f t="shared" si="56"/>
        <v>9</v>
      </c>
      <c r="C1612" s="35">
        <f t="shared" si="57"/>
        <v>42637</v>
      </c>
      <c r="D1612" s="212" t="s">
        <v>960</v>
      </c>
      <c r="E1612" s="35">
        <v>42637</v>
      </c>
      <c r="F1612" s="144" t="s">
        <v>1424</v>
      </c>
      <c r="G1612" s="191"/>
      <c r="H1612" s="198"/>
      <c r="I1612" s="186"/>
      <c r="J1612" s="186"/>
      <c r="K1612" s="185"/>
      <c r="L1612" s="186"/>
      <c r="M1612" s="36">
        <v>60000</v>
      </c>
      <c r="N1612" s="37"/>
      <c r="O1612" s="37" t="s">
        <v>34</v>
      </c>
      <c r="P1612" s="47" t="str">
        <f>IF(AND('331-CT'!$F$5=TH!H1612,OR(N1612="331",O1612="331")),"x","")</f>
        <v/>
      </c>
      <c r="Q1612" s="47" t="str">
        <f>IF(AND(B1612='111'!$L$11,OR($N1612=$Q$7,$O1612=$Q$7)),"x","")</f>
        <v/>
      </c>
      <c r="R1612" s="47" t="str">
        <f>IF(AND($N1612=$Q$7,$B1612&lt;'111'!$L$11),"x","")</f>
        <v/>
      </c>
      <c r="S1612" s="47" t="str">
        <f>IF(AND($O1612=$Q$7,$B1612&lt;'111'!$L$11),"x","")</f>
        <v>x</v>
      </c>
    </row>
    <row r="1613" spans="1:19" ht="15.75" customHeight="1">
      <c r="A1613" s="152" t="str">
        <f>IF(B1613&lt;&gt;"",IF(AND(B1613='IN-TC'!$S$4,OR(TH!N1613="1111",TH!O1613="1111")),TH!D1613,""),"")</f>
        <v/>
      </c>
      <c r="B1613" s="34">
        <f t="shared" ref="B1613:B1676" si="58">IF(C1613&lt;&gt;"",MONTH(C1613),"")</f>
        <v>9</v>
      </c>
      <c r="C1613" s="35">
        <f t="shared" ref="C1613:C1676" si="59">E1613</f>
        <v>42637</v>
      </c>
      <c r="D1613" s="212" t="s">
        <v>961</v>
      </c>
      <c r="E1613" s="35">
        <v>42637</v>
      </c>
      <c r="F1613" s="144" t="s">
        <v>1258</v>
      </c>
      <c r="G1613" s="191"/>
      <c r="H1613" s="198"/>
      <c r="I1613" s="186"/>
      <c r="J1613" s="186"/>
      <c r="K1613" s="185"/>
      <c r="L1613" s="186"/>
      <c r="M1613" s="36">
        <v>120000</v>
      </c>
      <c r="N1613" s="37"/>
      <c r="O1613" s="37" t="s">
        <v>34</v>
      </c>
      <c r="P1613" s="47" t="str">
        <f>IF(AND('331-CT'!$F$5=TH!H1613,OR(N1613="331",O1613="331")),"x","")</f>
        <v/>
      </c>
      <c r="Q1613" s="47" t="str">
        <f>IF(AND(B1613='111'!$L$11,OR($N1613=$Q$7,$O1613=$Q$7)),"x","")</f>
        <v/>
      </c>
      <c r="R1613" s="47" t="str">
        <f>IF(AND($N1613=$Q$7,$B1613&lt;'111'!$L$11),"x","")</f>
        <v/>
      </c>
      <c r="S1613" s="47" t="str">
        <f>IF(AND($O1613=$Q$7,$B1613&lt;'111'!$L$11),"x","")</f>
        <v>x</v>
      </c>
    </row>
    <row r="1614" spans="1:19" ht="15.75" customHeight="1">
      <c r="A1614" s="152" t="str">
        <f>IF(B1614&lt;&gt;"",IF(AND(B1614='IN-TC'!$S$4,OR(TH!N1614="1111",TH!O1614="1111")),TH!D1614,""),"")</f>
        <v/>
      </c>
      <c r="B1614" s="34">
        <f t="shared" si="58"/>
        <v>9</v>
      </c>
      <c r="C1614" s="35">
        <f t="shared" si="59"/>
        <v>42637</v>
      </c>
      <c r="D1614" s="212" t="s">
        <v>962</v>
      </c>
      <c r="E1614" s="35">
        <v>42637</v>
      </c>
      <c r="F1614" s="144" t="s">
        <v>1391</v>
      </c>
      <c r="G1614" s="191" t="s">
        <v>206</v>
      </c>
      <c r="H1614" s="198" t="s">
        <v>1128</v>
      </c>
      <c r="I1614" s="186"/>
      <c r="J1614" s="186"/>
      <c r="K1614" s="185"/>
      <c r="L1614" s="186"/>
      <c r="M1614" s="36">
        <v>120000000</v>
      </c>
      <c r="N1614" s="37" t="s">
        <v>8</v>
      </c>
      <c r="O1614" s="37" t="s">
        <v>34</v>
      </c>
      <c r="P1614" s="47" t="str">
        <f>IF(AND('331-CT'!$F$5=TH!H1614,OR(N1614="331",O1614="331")),"x","")</f>
        <v/>
      </c>
      <c r="Q1614" s="47" t="str">
        <f>IF(AND(B1614='111'!$L$11,OR($N1614=$Q$7,$O1614=$Q$7)),"x","")</f>
        <v/>
      </c>
      <c r="R1614" s="47" t="str">
        <f>IF(AND($N1614=$Q$7,$B1614&lt;'111'!$L$11),"x","")</f>
        <v/>
      </c>
      <c r="S1614" s="47" t="str">
        <f>IF(AND($O1614=$Q$7,$B1614&lt;'111'!$L$11),"x","")</f>
        <v>x</v>
      </c>
    </row>
    <row r="1615" spans="1:19" ht="15.75" customHeight="1">
      <c r="A1615" s="152" t="str">
        <f>IF(B1615&lt;&gt;"",IF(AND(B1615='IN-TC'!$S$4,OR(TH!N1615="1111",TH!O1615="1111")),TH!D1615,""),"")</f>
        <v/>
      </c>
      <c r="B1615" s="34">
        <f t="shared" si="58"/>
        <v>9</v>
      </c>
      <c r="C1615" s="35">
        <f t="shared" si="59"/>
        <v>42637</v>
      </c>
      <c r="D1615" s="212" t="s">
        <v>963</v>
      </c>
      <c r="E1615" s="35">
        <v>42637</v>
      </c>
      <c r="F1615" s="144" t="s">
        <v>1226</v>
      </c>
      <c r="G1615" s="191" t="s">
        <v>206</v>
      </c>
      <c r="H1615" s="198" t="s">
        <v>1419</v>
      </c>
      <c r="I1615" s="186"/>
      <c r="J1615" s="186"/>
      <c r="K1615" s="185"/>
      <c r="L1615" s="186"/>
      <c r="M1615" s="36">
        <v>101124000</v>
      </c>
      <c r="N1615" s="37" t="s">
        <v>8</v>
      </c>
      <c r="O1615" s="37" t="s">
        <v>34</v>
      </c>
      <c r="P1615" s="47" t="str">
        <f>IF(AND('331-CT'!$F$5=TH!H1615,OR(N1615="331",O1615="331")),"x","")</f>
        <v/>
      </c>
      <c r="Q1615" s="47" t="str">
        <f>IF(AND(B1615='111'!$L$11,OR($N1615=$Q$7,$O1615=$Q$7)),"x","")</f>
        <v/>
      </c>
      <c r="R1615" s="47" t="str">
        <f>IF(AND($N1615=$Q$7,$B1615&lt;'111'!$L$11),"x","")</f>
        <v/>
      </c>
      <c r="S1615" s="47" t="str">
        <f>IF(AND($O1615=$Q$7,$B1615&lt;'111'!$L$11),"x","")</f>
        <v>x</v>
      </c>
    </row>
    <row r="1616" spans="1:19" ht="15.75" customHeight="1">
      <c r="A1616" s="152" t="str">
        <f>IF(B1616&lt;&gt;"",IF(AND(B1616='IN-TC'!$S$4,OR(TH!N1616="1111",TH!O1616="1111")),TH!D1616,""),"")</f>
        <v/>
      </c>
      <c r="B1616" s="34">
        <f t="shared" si="58"/>
        <v>9</v>
      </c>
      <c r="C1616" s="35">
        <f t="shared" si="59"/>
        <v>42637</v>
      </c>
      <c r="D1616" s="212" t="s">
        <v>964</v>
      </c>
      <c r="E1616" s="35">
        <v>42637</v>
      </c>
      <c r="F1616" s="144" t="s">
        <v>1394</v>
      </c>
      <c r="G1616" s="191" t="s">
        <v>206</v>
      </c>
      <c r="H1616" s="198" t="s">
        <v>851</v>
      </c>
      <c r="I1616" s="186"/>
      <c r="J1616" s="186"/>
      <c r="K1616" s="185"/>
      <c r="L1616" s="186"/>
      <c r="M1616" s="36">
        <v>300000000</v>
      </c>
      <c r="N1616" s="37" t="s">
        <v>8</v>
      </c>
      <c r="O1616" s="37" t="s">
        <v>34</v>
      </c>
      <c r="P1616" s="47" t="str">
        <f>IF(AND('331-CT'!$F$5=TH!H1616,OR(N1616="331",O1616="331")),"x","")</f>
        <v/>
      </c>
      <c r="Q1616" s="47" t="str">
        <f>IF(AND(B1616='111'!$L$11,OR($N1616=$Q$7,$O1616=$Q$7)),"x","")</f>
        <v/>
      </c>
      <c r="R1616" s="47" t="str">
        <f>IF(AND($N1616=$Q$7,$B1616&lt;'111'!$L$11),"x","")</f>
        <v/>
      </c>
      <c r="S1616" s="47" t="str">
        <f>IF(AND($O1616=$Q$7,$B1616&lt;'111'!$L$11),"x","")</f>
        <v>x</v>
      </c>
    </row>
    <row r="1617" spans="1:19" ht="15.75" customHeight="1">
      <c r="A1617" s="152" t="str">
        <f>IF(B1617&lt;&gt;"",IF(AND(B1617='IN-TC'!$S$4,OR(TH!N1617="1111",TH!O1617="1111")),TH!D1617,""),"")</f>
        <v/>
      </c>
      <c r="B1617" s="34">
        <f t="shared" si="58"/>
        <v>9</v>
      </c>
      <c r="C1617" s="35">
        <f t="shared" si="59"/>
        <v>42637</v>
      </c>
      <c r="D1617" s="212" t="s">
        <v>965</v>
      </c>
      <c r="E1617" s="35">
        <v>42637</v>
      </c>
      <c r="F1617" s="144" t="s">
        <v>1259</v>
      </c>
      <c r="G1617" s="38" t="s">
        <v>203</v>
      </c>
      <c r="H1617" s="198" t="s">
        <v>1042</v>
      </c>
      <c r="I1617" s="186"/>
      <c r="J1617" s="186"/>
      <c r="K1617" s="185"/>
      <c r="L1617" s="186"/>
      <c r="M1617" s="36">
        <v>37500000</v>
      </c>
      <c r="N1617" s="37" t="s">
        <v>814</v>
      </c>
      <c r="O1617" s="37" t="s">
        <v>34</v>
      </c>
      <c r="P1617" s="47" t="str">
        <f>IF(AND('331-CT'!$F$5=TH!H1617,OR(N1617="331",O1617="331")),"x","")</f>
        <v/>
      </c>
      <c r="Q1617" s="47" t="str">
        <f>IF(AND(B1617='111'!$L$11,OR($N1617=$Q$7,$O1617=$Q$7)),"x","")</f>
        <v/>
      </c>
      <c r="R1617" s="47" t="str">
        <f>IF(AND($N1617=$Q$7,$B1617&lt;'111'!$L$11),"x","")</f>
        <v/>
      </c>
      <c r="S1617" s="47" t="str">
        <f>IF(AND($O1617=$Q$7,$B1617&lt;'111'!$L$11),"x","")</f>
        <v>x</v>
      </c>
    </row>
    <row r="1618" spans="1:19" ht="15.75" customHeight="1">
      <c r="A1618" s="152" t="str">
        <f>IF(B1618&lt;&gt;"",IF(AND(B1618='IN-TC'!$S$4,OR(TH!N1618="1111",TH!O1618="1111")),TH!D1618,""),"")</f>
        <v/>
      </c>
      <c r="B1618" s="34">
        <f t="shared" si="58"/>
        <v>9</v>
      </c>
      <c r="C1618" s="35">
        <f t="shared" si="59"/>
        <v>42637</v>
      </c>
      <c r="D1618" s="212" t="s">
        <v>966</v>
      </c>
      <c r="E1618" s="35">
        <v>42637</v>
      </c>
      <c r="F1618" s="144" t="s">
        <v>784</v>
      </c>
      <c r="G1618" s="191" t="s">
        <v>204</v>
      </c>
      <c r="H1618" s="198"/>
      <c r="I1618" s="186"/>
      <c r="J1618" s="186"/>
      <c r="K1618" s="185"/>
      <c r="L1618" s="186"/>
      <c r="M1618" s="36">
        <v>50000000</v>
      </c>
      <c r="N1618" s="37"/>
      <c r="O1618" s="37" t="s">
        <v>34</v>
      </c>
      <c r="P1618" s="47" t="str">
        <f>IF(AND('331-CT'!$F$5=TH!H1618,OR(N1618="331",O1618="331")),"x","")</f>
        <v/>
      </c>
      <c r="Q1618" s="47" t="str">
        <f>IF(AND(B1618='111'!$L$11,OR($N1618=$Q$7,$O1618=$Q$7)),"x","")</f>
        <v/>
      </c>
      <c r="R1618" s="47" t="str">
        <f>IF(AND($N1618=$Q$7,$B1618&lt;'111'!$L$11),"x","")</f>
        <v/>
      </c>
      <c r="S1618" s="47" t="str">
        <f>IF(AND($O1618=$Q$7,$B1618&lt;'111'!$L$11),"x","")</f>
        <v>x</v>
      </c>
    </row>
    <row r="1619" spans="1:19" ht="15.75" customHeight="1">
      <c r="A1619" s="152" t="str">
        <f>IF(B1619&lt;&gt;"",IF(AND(B1619='IN-TC'!$S$4,OR(TH!N1619="1111",TH!O1619="1111")),TH!D1619,""),"")</f>
        <v/>
      </c>
      <c r="B1619" s="34">
        <f t="shared" si="58"/>
        <v>9</v>
      </c>
      <c r="C1619" s="35">
        <f t="shared" si="59"/>
        <v>42639</v>
      </c>
      <c r="D1619" s="212" t="s">
        <v>967</v>
      </c>
      <c r="E1619" s="35">
        <v>42639</v>
      </c>
      <c r="F1619" s="144" t="s">
        <v>1260</v>
      </c>
      <c r="G1619" s="191"/>
      <c r="H1619" s="198"/>
      <c r="I1619" s="186"/>
      <c r="J1619" s="186"/>
      <c r="K1619" s="185"/>
      <c r="L1619" s="186"/>
      <c r="M1619" s="36">
        <v>3526000</v>
      </c>
      <c r="N1619" s="37"/>
      <c r="O1619" s="37" t="s">
        <v>34</v>
      </c>
      <c r="P1619" s="47" t="str">
        <f>IF(AND('331-CT'!$F$5=TH!H1619,OR(N1619="331",O1619="331")),"x","")</f>
        <v/>
      </c>
      <c r="Q1619" s="47" t="str">
        <f>IF(AND(B1619='111'!$L$11,OR($N1619=$Q$7,$O1619=$Q$7)),"x","")</f>
        <v/>
      </c>
      <c r="R1619" s="47" t="str">
        <f>IF(AND($N1619=$Q$7,$B1619&lt;'111'!$L$11),"x","")</f>
        <v/>
      </c>
      <c r="S1619" s="47" t="str">
        <f>IF(AND($O1619=$Q$7,$B1619&lt;'111'!$L$11),"x","")</f>
        <v>x</v>
      </c>
    </row>
    <row r="1620" spans="1:19" ht="15.75" customHeight="1">
      <c r="A1620" s="152" t="str">
        <f>IF(B1620&lt;&gt;"",IF(AND(B1620='IN-TC'!$S$4,OR(TH!N1620="1111",TH!O1620="1111")),TH!D1620,""),"")</f>
        <v/>
      </c>
      <c r="B1620" s="34">
        <f t="shared" si="58"/>
        <v>9</v>
      </c>
      <c r="C1620" s="35">
        <f t="shared" si="59"/>
        <v>42639</v>
      </c>
      <c r="D1620" s="212" t="s">
        <v>968</v>
      </c>
      <c r="E1620" s="35">
        <v>42639</v>
      </c>
      <c r="F1620" s="144" t="s">
        <v>1261</v>
      </c>
      <c r="G1620" s="38" t="s">
        <v>203</v>
      </c>
      <c r="H1620" s="198" t="s">
        <v>1409</v>
      </c>
      <c r="I1620" s="186"/>
      <c r="J1620" s="186"/>
      <c r="K1620" s="185"/>
      <c r="L1620" s="186"/>
      <c r="M1620" s="36">
        <v>10011000</v>
      </c>
      <c r="N1620" s="37" t="s">
        <v>814</v>
      </c>
      <c r="O1620" s="37" t="s">
        <v>34</v>
      </c>
      <c r="P1620" s="47" t="str">
        <f>IF(AND('331-CT'!$F$5=TH!H1620,OR(N1620="331",O1620="331")),"x","")</f>
        <v/>
      </c>
      <c r="Q1620" s="47" t="str">
        <f>IF(AND(B1620='111'!$L$11,OR($N1620=$Q$7,$O1620=$Q$7)),"x","")</f>
        <v/>
      </c>
      <c r="R1620" s="47" t="str">
        <f>IF(AND($N1620=$Q$7,$B1620&lt;'111'!$L$11),"x","")</f>
        <v/>
      </c>
      <c r="S1620" s="47" t="str">
        <f>IF(AND($O1620=$Q$7,$B1620&lt;'111'!$L$11),"x","")</f>
        <v>x</v>
      </c>
    </row>
    <row r="1621" spans="1:19" ht="15.75" customHeight="1">
      <c r="A1621" s="152" t="str">
        <f>IF(B1621&lt;&gt;"",IF(AND(B1621='IN-TC'!$S$4,OR(TH!N1621="1111",TH!O1621="1111")),TH!D1621,""),"")</f>
        <v/>
      </c>
      <c r="B1621" s="34">
        <f t="shared" si="58"/>
        <v>9</v>
      </c>
      <c r="C1621" s="35">
        <f t="shared" si="59"/>
        <v>42639</v>
      </c>
      <c r="D1621" s="212" t="s">
        <v>969</v>
      </c>
      <c r="E1621" s="35">
        <v>42639</v>
      </c>
      <c r="F1621" s="144" t="s">
        <v>1262</v>
      </c>
      <c r="G1621" s="191"/>
      <c r="H1621" s="198"/>
      <c r="I1621" s="186"/>
      <c r="J1621" s="186"/>
      <c r="K1621" s="185"/>
      <c r="L1621" s="186"/>
      <c r="M1621" s="36">
        <v>406000</v>
      </c>
      <c r="N1621" s="37"/>
      <c r="O1621" s="37" t="s">
        <v>34</v>
      </c>
      <c r="P1621" s="47" t="str">
        <f>IF(AND('331-CT'!$F$5=TH!H1621,OR(N1621="331",O1621="331")),"x","")</f>
        <v/>
      </c>
      <c r="Q1621" s="47" t="str">
        <f>IF(AND(B1621='111'!$L$11,OR($N1621=$Q$7,$O1621=$Q$7)),"x","")</f>
        <v/>
      </c>
      <c r="R1621" s="47" t="str">
        <f>IF(AND($N1621=$Q$7,$B1621&lt;'111'!$L$11),"x","")</f>
        <v/>
      </c>
      <c r="S1621" s="47" t="str">
        <f>IF(AND($O1621=$Q$7,$B1621&lt;'111'!$L$11),"x","")</f>
        <v>x</v>
      </c>
    </row>
    <row r="1622" spans="1:19" ht="15.75" customHeight="1">
      <c r="A1622" s="152" t="str">
        <f>IF(B1622&lt;&gt;"",IF(AND(B1622='IN-TC'!$S$4,OR(TH!N1622="1111",TH!O1622="1111")),TH!D1622,""),"")</f>
        <v/>
      </c>
      <c r="B1622" s="34">
        <f t="shared" si="58"/>
        <v>9</v>
      </c>
      <c r="C1622" s="35">
        <f t="shared" si="59"/>
        <v>42639</v>
      </c>
      <c r="D1622" s="212" t="s">
        <v>970</v>
      </c>
      <c r="E1622" s="35">
        <v>42639</v>
      </c>
      <c r="F1622" s="144" t="s">
        <v>1263</v>
      </c>
      <c r="G1622" s="191"/>
      <c r="H1622" s="198"/>
      <c r="I1622" s="186"/>
      <c r="J1622" s="186"/>
      <c r="K1622" s="185"/>
      <c r="L1622" s="186"/>
      <c r="M1622" s="36">
        <v>2830000</v>
      </c>
      <c r="N1622" s="37"/>
      <c r="O1622" s="37" t="s">
        <v>34</v>
      </c>
      <c r="P1622" s="47" t="str">
        <f>IF(AND('331-CT'!$F$5=TH!H1622,OR(N1622="331",O1622="331")),"x","")</f>
        <v/>
      </c>
      <c r="Q1622" s="47" t="str">
        <f>IF(AND(B1622='111'!$L$11,OR($N1622=$Q$7,$O1622=$Q$7)),"x","")</f>
        <v/>
      </c>
      <c r="R1622" s="47" t="str">
        <f>IF(AND($N1622=$Q$7,$B1622&lt;'111'!$L$11),"x","")</f>
        <v/>
      </c>
      <c r="S1622" s="47" t="str">
        <f>IF(AND($O1622=$Q$7,$B1622&lt;'111'!$L$11),"x","")</f>
        <v>x</v>
      </c>
    </row>
    <row r="1623" spans="1:19" ht="15.75" customHeight="1">
      <c r="A1623" s="152" t="str">
        <f>IF(B1623&lt;&gt;"",IF(AND(B1623='IN-TC'!$S$4,OR(TH!N1623="1111",TH!O1623="1111")),TH!D1623,""),"")</f>
        <v/>
      </c>
      <c r="B1623" s="34">
        <f t="shared" si="58"/>
        <v>9</v>
      </c>
      <c r="C1623" s="35">
        <f t="shared" si="59"/>
        <v>42639</v>
      </c>
      <c r="D1623" s="212" t="s">
        <v>971</v>
      </c>
      <c r="E1623" s="35">
        <v>42639</v>
      </c>
      <c r="F1623" s="144" t="s">
        <v>1264</v>
      </c>
      <c r="G1623" s="191" t="s">
        <v>212</v>
      </c>
      <c r="H1623" s="198"/>
      <c r="I1623" s="186"/>
      <c r="J1623" s="186"/>
      <c r="K1623" s="185"/>
      <c r="L1623" s="186"/>
      <c r="M1623" s="36">
        <v>14000000</v>
      </c>
      <c r="N1623" s="37"/>
      <c r="O1623" s="37" t="s">
        <v>34</v>
      </c>
      <c r="P1623" s="47" t="str">
        <f>IF(AND('331-CT'!$F$5=TH!H1623,OR(N1623="331",O1623="331")),"x","")</f>
        <v/>
      </c>
      <c r="Q1623" s="47" t="str">
        <f>IF(AND(B1623='111'!$L$11,OR($N1623=$Q$7,$O1623=$Q$7)),"x","")</f>
        <v/>
      </c>
      <c r="R1623" s="47" t="str">
        <f>IF(AND($N1623=$Q$7,$B1623&lt;'111'!$L$11),"x","")</f>
        <v/>
      </c>
      <c r="S1623" s="47" t="str">
        <f>IF(AND($O1623=$Q$7,$B1623&lt;'111'!$L$11),"x","")</f>
        <v>x</v>
      </c>
    </row>
    <row r="1624" spans="1:19" ht="15.75" customHeight="1">
      <c r="A1624" s="152" t="str">
        <f>IF(B1624&lt;&gt;"",IF(AND(B1624='IN-TC'!$S$4,OR(TH!N1624="1111",TH!O1624="1111")),TH!D1624,""),"")</f>
        <v/>
      </c>
      <c r="B1624" s="34">
        <f t="shared" si="58"/>
        <v>9</v>
      </c>
      <c r="C1624" s="35">
        <f t="shared" si="59"/>
        <v>42639</v>
      </c>
      <c r="D1624" s="212" t="s">
        <v>972</v>
      </c>
      <c r="E1624" s="35">
        <v>42639</v>
      </c>
      <c r="F1624" s="144" t="s">
        <v>1265</v>
      </c>
      <c r="G1624" s="191"/>
      <c r="H1624" s="198"/>
      <c r="I1624" s="186"/>
      <c r="J1624" s="186"/>
      <c r="K1624" s="185"/>
      <c r="L1624" s="186"/>
      <c r="M1624" s="36">
        <v>1000000</v>
      </c>
      <c r="N1624" s="37"/>
      <c r="O1624" s="37" t="s">
        <v>34</v>
      </c>
      <c r="P1624" s="47" t="str">
        <f>IF(AND('331-CT'!$F$5=TH!H1624,OR(N1624="331",O1624="331")),"x","")</f>
        <v/>
      </c>
      <c r="Q1624" s="47" t="str">
        <f>IF(AND(B1624='111'!$L$11,OR($N1624=$Q$7,$O1624=$Q$7)),"x","")</f>
        <v/>
      </c>
      <c r="R1624" s="47" t="str">
        <f>IF(AND($N1624=$Q$7,$B1624&lt;'111'!$L$11),"x","")</f>
        <v/>
      </c>
      <c r="S1624" s="47" t="str">
        <f>IF(AND($O1624=$Q$7,$B1624&lt;'111'!$L$11),"x","")</f>
        <v>x</v>
      </c>
    </row>
    <row r="1625" spans="1:19" ht="15.75" customHeight="1">
      <c r="A1625" s="152" t="str">
        <f>IF(B1625&lt;&gt;"",IF(AND(B1625='IN-TC'!$S$4,OR(TH!N1625="1111",TH!O1625="1111")),TH!D1625,""),"")</f>
        <v/>
      </c>
      <c r="B1625" s="34">
        <f t="shared" si="58"/>
        <v>9</v>
      </c>
      <c r="C1625" s="35">
        <f t="shared" si="59"/>
        <v>42639</v>
      </c>
      <c r="D1625" s="212" t="s">
        <v>973</v>
      </c>
      <c r="E1625" s="35">
        <v>42639</v>
      </c>
      <c r="F1625" s="144" t="s">
        <v>1266</v>
      </c>
      <c r="G1625" s="191" t="s">
        <v>204</v>
      </c>
      <c r="H1625" s="198"/>
      <c r="I1625" s="186"/>
      <c r="J1625" s="186"/>
      <c r="K1625" s="185"/>
      <c r="L1625" s="186"/>
      <c r="M1625" s="36">
        <v>350000</v>
      </c>
      <c r="N1625" s="37"/>
      <c r="O1625" s="37" t="s">
        <v>34</v>
      </c>
      <c r="P1625" s="47" t="str">
        <f>IF(AND('331-CT'!$F$5=TH!H1625,OR(N1625="331",O1625="331")),"x","")</f>
        <v/>
      </c>
      <c r="Q1625" s="47" t="str">
        <f>IF(AND(B1625='111'!$L$11,OR($N1625=$Q$7,$O1625=$Q$7)),"x","")</f>
        <v/>
      </c>
      <c r="R1625" s="47" t="str">
        <f>IF(AND($N1625=$Q$7,$B1625&lt;'111'!$L$11),"x","")</f>
        <v/>
      </c>
      <c r="S1625" s="47" t="str">
        <f>IF(AND($O1625=$Q$7,$B1625&lt;'111'!$L$11),"x","")</f>
        <v>x</v>
      </c>
    </row>
    <row r="1626" spans="1:19" ht="15.75" customHeight="1">
      <c r="A1626" s="152" t="str">
        <f>IF(B1626&lt;&gt;"",IF(AND(B1626='IN-TC'!$S$4,OR(TH!N1626="1111",TH!O1626="1111")),TH!D1626,""),"")</f>
        <v/>
      </c>
      <c r="B1626" s="34">
        <f t="shared" si="58"/>
        <v>9</v>
      </c>
      <c r="C1626" s="35">
        <f t="shared" si="59"/>
        <v>42639</v>
      </c>
      <c r="D1626" s="212" t="s">
        <v>974</v>
      </c>
      <c r="E1626" s="35">
        <v>42639</v>
      </c>
      <c r="F1626" s="144" t="s">
        <v>1267</v>
      </c>
      <c r="G1626" s="191"/>
      <c r="H1626" s="198"/>
      <c r="I1626" s="186"/>
      <c r="J1626" s="186"/>
      <c r="K1626" s="185"/>
      <c r="L1626" s="186"/>
      <c r="M1626" s="36">
        <v>1600000</v>
      </c>
      <c r="N1626" s="37"/>
      <c r="O1626" s="37" t="s">
        <v>34</v>
      </c>
      <c r="P1626" s="47" t="str">
        <f>IF(AND('331-CT'!$F$5=TH!H1626,OR(N1626="331",O1626="331")),"x","")</f>
        <v/>
      </c>
      <c r="Q1626" s="47" t="str">
        <f>IF(AND(B1626='111'!$L$11,OR($N1626=$Q$7,$O1626=$Q$7)),"x","")</f>
        <v/>
      </c>
      <c r="R1626" s="47" t="str">
        <f>IF(AND($N1626=$Q$7,$B1626&lt;'111'!$L$11),"x","")</f>
        <v/>
      </c>
      <c r="S1626" s="47" t="str">
        <f>IF(AND($O1626=$Q$7,$B1626&lt;'111'!$L$11),"x","")</f>
        <v>x</v>
      </c>
    </row>
    <row r="1627" spans="1:19" ht="15.75" customHeight="1">
      <c r="A1627" s="152" t="str">
        <f>IF(B1627&lt;&gt;"",IF(AND(B1627='IN-TC'!$S$4,OR(TH!N1627="1111",TH!O1627="1111")),TH!D1627,""),"")</f>
        <v/>
      </c>
      <c r="B1627" s="34">
        <f t="shared" si="58"/>
        <v>9</v>
      </c>
      <c r="C1627" s="35">
        <f t="shared" si="59"/>
        <v>42639</v>
      </c>
      <c r="D1627" s="212" t="s">
        <v>975</v>
      </c>
      <c r="E1627" s="35">
        <v>42639</v>
      </c>
      <c r="F1627" s="144" t="s">
        <v>1268</v>
      </c>
      <c r="G1627" s="191"/>
      <c r="H1627" s="198"/>
      <c r="I1627" s="186"/>
      <c r="J1627" s="186"/>
      <c r="K1627" s="185"/>
      <c r="L1627" s="186"/>
      <c r="M1627" s="36">
        <v>3000000</v>
      </c>
      <c r="N1627" s="37"/>
      <c r="O1627" s="37" t="s">
        <v>34</v>
      </c>
      <c r="P1627" s="47" t="str">
        <f>IF(AND('331-CT'!$F$5=TH!H1627,OR(N1627="331",O1627="331")),"x","")</f>
        <v/>
      </c>
      <c r="Q1627" s="47" t="str">
        <f>IF(AND(B1627='111'!$L$11,OR($N1627=$Q$7,$O1627=$Q$7)),"x","")</f>
        <v/>
      </c>
      <c r="R1627" s="47" t="str">
        <f>IF(AND($N1627=$Q$7,$B1627&lt;'111'!$L$11),"x","")</f>
        <v/>
      </c>
      <c r="S1627" s="47" t="str">
        <f>IF(AND($O1627=$Q$7,$B1627&lt;'111'!$L$11),"x","")</f>
        <v>x</v>
      </c>
    </row>
    <row r="1628" spans="1:19" ht="15.75" customHeight="1">
      <c r="A1628" s="152" t="str">
        <f>IF(B1628&lt;&gt;"",IF(AND(B1628='IN-TC'!$S$4,OR(TH!N1628="1111",TH!O1628="1111")),TH!D1628,""),"")</f>
        <v/>
      </c>
      <c r="B1628" s="34">
        <f t="shared" si="58"/>
        <v>9</v>
      </c>
      <c r="C1628" s="35">
        <f t="shared" si="59"/>
        <v>42639</v>
      </c>
      <c r="D1628" s="212"/>
      <c r="E1628" s="35">
        <v>42639</v>
      </c>
      <c r="F1628" s="144" t="s">
        <v>1449</v>
      </c>
      <c r="G1628" s="191" t="s">
        <v>204</v>
      </c>
      <c r="H1628" s="7" t="s">
        <v>851</v>
      </c>
      <c r="I1628" s="186">
        <v>5540</v>
      </c>
      <c r="J1628" s="186">
        <v>52000</v>
      </c>
      <c r="K1628" s="185"/>
      <c r="L1628" s="186"/>
      <c r="M1628" s="36">
        <f>ROUND(I1628*J1628,0)</f>
        <v>288080000</v>
      </c>
      <c r="N1628" s="37" t="s">
        <v>1443</v>
      </c>
      <c r="O1628" s="37" t="s">
        <v>8</v>
      </c>
      <c r="P1628" s="47" t="str">
        <f>IF(AND('331-CT'!$F$5=TH!H1628,OR(N1628="331",O1628="331")),"x","")</f>
        <v/>
      </c>
      <c r="Q1628" s="47" t="str">
        <f>IF(AND(B1628='111'!$L$11,OR($N1628=$Q$7,$O1628=$Q$7)),"x","")</f>
        <v/>
      </c>
      <c r="R1628" s="47" t="str">
        <f>IF(AND($N1628=$Q$7,$B1628&lt;'111'!$L$11),"x","")</f>
        <v/>
      </c>
      <c r="S1628" s="47" t="str">
        <f>IF(AND($O1628=$Q$7,$B1628&lt;'111'!$L$11),"x","")</f>
        <v/>
      </c>
    </row>
    <row r="1629" spans="1:19" ht="15.75" customHeight="1">
      <c r="A1629" s="152" t="str">
        <f>IF(B1629&lt;&gt;"",IF(AND(B1629='IN-TC'!$S$4,OR(TH!N1629="1111",TH!O1629="1111")),TH!D1629,""),"")</f>
        <v/>
      </c>
      <c r="B1629" s="34">
        <f t="shared" si="58"/>
        <v>9</v>
      </c>
      <c r="C1629" s="35">
        <f t="shared" si="59"/>
        <v>42640</v>
      </c>
      <c r="D1629" s="212"/>
      <c r="E1629" s="35">
        <v>42640</v>
      </c>
      <c r="F1629" s="144" t="s">
        <v>1521</v>
      </c>
      <c r="G1629" s="191"/>
      <c r="H1629" s="198" t="s">
        <v>848</v>
      </c>
      <c r="I1629" s="186">
        <v>4935</v>
      </c>
      <c r="J1629" s="186">
        <v>48000</v>
      </c>
      <c r="K1629" s="185"/>
      <c r="L1629" s="186"/>
      <c r="M1629" s="36">
        <f>ROUND(I1629*J1629,-3)</f>
        <v>236880000</v>
      </c>
      <c r="N1629" s="37" t="s">
        <v>8</v>
      </c>
      <c r="O1629" s="37" t="s">
        <v>1443</v>
      </c>
      <c r="P1629" s="47" t="str">
        <f>IF(AND('331-CT'!$F$5=TH!H1629,OR(N1629="331",O1629="331")),"x","")</f>
        <v/>
      </c>
      <c r="Q1629" s="47" t="str">
        <f>IF(AND(B1629='111'!$L$11,OR($N1629=$Q$7,$O1629=$Q$7)),"x","")</f>
        <v/>
      </c>
      <c r="R1629" s="47" t="str">
        <f>IF(AND($N1629=$Q$7,$B1629&lt;'111'!$L$11),"x","")</f>
        <v/>
      </c>
      <c r="S1629" s="47" t="str">
        <f>IF(AND($O1629=$Q$7,$B1629&lt;'111'!$L$11),"x","")</f>
        <v/>
      </c>
    </row>
    <row r="1630" spans="1:19" ht="15.75" customHeight="1">
      <c r="A1630" s="152" t="str">
        <f>IF(B1630&lt;&gt;"",IF(AND(B1630='IN-TC'!$S$4,OR(TH!N1630="1111",TH!O1630="1111")),TH!D1630,""),"")</f>
        <v/>
      </c>
      <c r="B1630" s="34">
        <f t="shared" si="58"/>
        <v>9</v>
      </c>
      <c r="C1630" s="35">
        <f t="shared" si="59"/>
        <v>42640</v>
      </c>
      <c r="D1630" s="212"/>
      <c r="E1630" s="35">
        <v>42640</v>
      </c>
      <c r="F1630" s="144" t="s">
        <v>1521</v>
      </c>
      <c r="G1630" s="191"/>
      <c r="H1630" s="198" t="s">
        <v>848</v>
      </c>
      <c r="I1630" s="186">
        <v>65</v>
      </c>
      <c r="J1630" s="186">
        <v>48000</v>
      </c>
      <c r="K1630" s="185"/>
      <c r="L1630" s="186"/>
      <c r="M1630" s="36">
        <f>ROUND(I1630*J1630,-3)</f>
        <v>3120000</v>
      </c>
      <c r="N1630" s="37" t="s">
        <v>8</v>
      </c>
      <c r="O1630" s="37" t="s">
        <v>1443</v>
      </c>
      <c r="P1630" s="47" t="str">
        <f>IF(AND('331-CT'!$F$5=TH!H1630,OR(N1630="331",O1630="331")),"x","")</f>
        <v/>
      </c>
      <c r="Q1630" s="47" t="str">
        <f>IF(AND(B1630='111'!$L$11,OR($N1630=$Q$7,$O1630=$Q$7)),"x","")</f>
        <v/>
      </c>
      <c r="R1630" s="47" t="str">
        <f>IF(AND($N1630=$Q$7,$B1630&lt;'111'!$L$11),"x","")</f>
        <v/>
      </c>
      <c r="S1630" s="47" t="str">
        <f>IF(AND($O1630=$Q$7,$B1630&lt;'111'!$L$11),"x","")</f>
        <v/>
      </c>
    </row>
    <row r="1631" spans="1:19" ht="15.75" customHeight="1">
      <c r="A1631" s="152" t="str">
        <f>IF(B1631&lt;&gt;"",IF(AND(B1631='IN-TC'!$S$4,OR(TH!N1631="1111",TH!O1631="1111")),TH!D1631,""),"")</f>
        <v/>
      </c>
      <c r="B1631" s="34">
        <f t="shared" si="58"/>
        <v>9</v>
      </c>
      <c r="C1631" s="35">
        <f t="shared" si="59"/>
        <v>42640</v>
      </c>
      <c r="D1631" s="212"/>
      <c r="E1631" s="35">
        <v>42640</v>
      </c>
      <c r="F1631" s="144" t="s">
        <v>1520</v>
      </c>
      <c r="G1631" s="191"/>
      <c r="H1631" s="198" t="s">
        <v>848</v>
      </c>
      <c r="I1631" s="186">
        <v>2415</v>
      </c>
      <c r="J1631" s="186">
        <v>130000</v>
      </c>
      <c r="K1631" s="185"/>
      <c r="L1631" s="186"/>
      <c r="M1631" s="36">
        <f>ROUND(I1631*J1631,-3)</f>
        <v>313950000</v>
      </c>
      <c r="N1631" s="37" t="s">
        <v>8</v>
      </c>
      <c r="O1631" s="37" t="s">
        <v>1443</v>
      </c>
      <c r="P1631" s="47" t="str">
        <f>IF(AND('331-CT'!$F$5=TH!H1631,OR(N1631="331",O1631="331")),"x","")</f>
        <v/>
      </c>
      <c r="Q1631" s="47" t="str">
        <f>IF(AND(B1631='111'!$L$11,OR($N1631=$Q$7,$O1631=$Q$7)),"x","")</f>
        <v/>
      </c>
      <c r="R1631" s="47" t="str">
        <f>IF(AND($N1631=$Q$7,$B1631&lt;'111'!$L$11),"x","")</f>
        <v/>
      </c>
      <c r="S1631" s="47" t="str">
        <f>IF(AND($O1631=$Q$7,$B1631&lt;'111'!$L$11),"x","")</f>
        <v/>
      </c>
    </row>
    <row r="1632" spans="1:19" ht="15.75" customHeight="1">
      <c r="A1632" s="152" t="str">
        <f>IF(B1632&lt;&gt;"",IF(AND(B1632='IN-TC'!$S$4,OR(TH!N1632="1111",TH!O1632="1111")),TH!D1632,""),"")</f>
        <v/>
      </c>
      <c r="B1632" s="34">
        <f t="shared" si="58"/>
        <v>9</v>
      </c>
      <c r="C1632" s="35">
        <f t="shared" si="59"/>
        <v>42640</v>
      </c>
      <c r="D1632" s="212"/>
      <c r="E1632" s="35">
        <v>42640</v>
      </c>
      <c r="F1632" s="144" t="s">
        <v>1451</v>
      </c>
      <c r="G1632" s="191"/>
      <c r="H1632" s="198" t="s">
        <v>1421</v>
      </c>
      <c r="I1632" s="186">
        <v>2415</v>
      </c>
      <c r="J1632" s="186">
        <v>14500</v>
      </c>
      <c r="K1632" s="185"/>
      <c r="L1632" s="186"/>
      <c r="M1632" s="36">
        <f>ROUND(I1632*J1632,-3)</f>
        <v>35018000</v>
      </c>
      <c r="N1632" s="37" t="s">
        <v>1443</v>
      </c>
      <c r="O1632" s="37" t="s">
        <v>8</v>
      </c>
      <c r="P1632" s="47" t="str">
        <f>IF(AND('331-CT'!$F$5=TH!H1632,OR(N1632="331",O1632="331")),"x","")</f>
        <v/>
      </c>
      <c r="Q1632" s="47" t="str">
        <f>IF(AND(B1632='111'!$L$11,OR($N1632=$Q$7,$O1632=$Q$7)),"x","")</f>
        <v/>
      </c>
      <c r="R1632" s="47" t="str">
        <f>IF(AND($N1632=$Q$7,$B1632&lt;'111'!$L$11),"x","")</f>
        <v/>
      </c>
      <c r="S1632" s="47" t="str">
        <f>IF(AND($O1632=$Q$7,$B1632&lt;'111'!$L$11),"x","")</f>
        <v/>
      </c>
    </row>
    <row r="1633" spans="1:19" ht="15.75" customHeight="1">
      <c r="A1633" s="152" t="str">
        <f>IF(B1633&lt;&gt;"",IF(AND(B1633='IN-TC'!$S$4,OR(TH!N1633="1111",TH!O1633="1111")),TH!D1633,""),"")</f>
        <v/>
      </c>
      <c r="B1633" s="34">
        <f t="shared" si="58"/>
        <v>9</v>
      </c>
      <c r="C1633" s="35">
        <f t="shared" si="59"/>
        <v>42641</v>
      </c>
      <c r="D1633" s="212"/>
      <c r="E1633" s="35">
        <v>42641</v>
      </c>
      <c r="F1633" s="144" t="s">
        <v>1441</v>
      </c>
      <c r="G1633" s="191"/>
      <c r="H1633" s="198" t="s">
        <v>1422</v>
      </c>
      <c r="I1633" s="186">
        <v>1007</v>
      </c>
      <c r="J1633" s="186">
        <v>105000</v>
      </c>
      <c r="K1633" s="185"/>
      <c r="L1633" s="186"/>
      <c r="M1633" s="36">
        <f>ROUND(I1633*J1633,0)</f>
        <v>105735000</v>
      </c>
      <c r="N1633" s="37" t="s">
        <v>1443</v>
      </c>
      <c r="O1633" s="37" t="s">
        <v>8</v>
      </c>
      <c r="P1633" s="47" t="str">
        <f>IF(AND('331-CT'!$F$5=TH!H1633,OR(N1633="331",O1633="331")),"x","")</f>
        <v/>
      </c>
      <c r="Q1633" s="47" t="str">
        <f>IF(AND(B1633='111'!$L$11,OR($N1633=$Q$7,$O1633=$Q$7)),"x","")</f>
        <v/>
      </c>
      <c r="R1633" s="47" t="str">
        <f>IF(AND($N1633=$Q$7,$B1633&lt;'111'!$L$11),"x","")</f>
        <v/>
      </c>
      <c r="S1633" s="47" t="str">
        <f>IF(AND($O1633=$Q$7,$B1633&lt;'111'!$L$11),"x","")</f>
        <v/>
      </c>
    </row>
    <row r="1634" spans="1:19" ht="15.75" customHeight="1">
      <c r="A1634" s="152" t="str">
        <f>IF(B1634&lt;&gt;"",IF(AND(B1634='IN-TC'!$S$4,OR(TH!N1634="1111",TH!O1634="1111")),TH!D1634,""),"")</f>
        <v/>
      </c>
      <c r="B1634" s="34">
        <f t="shared" si="58"/>
        <v>9</v>
      </c>
      <c r="C1634" s="35">
        <f t="shared" si="59"/>
        <v>42641</v>
      </c>
      <c r="D1634" s="212"/>
      <c r="E1634" s="35">
        <v>42641</v>
      </c>
      <c r="F1634" s="144" t="s">
        <v>1451</v>
      </c>
      <c r="G1634" s="191"/>
      <c r="H1634" s="198" t="s">
        <v>1421</v>
      </c>
      <c r="I1634" s="186">
        <v>2642</v>
      </c>
      <c r="J1634" s="186">
        <v>14500</v>
      </c>
      <c r="K1634" s="185"/>
      <c r="L1634" s="186"/>
      <c r="M1634" s="36">
        <f>ROUND(I1634*J1634,-3)</f>
        <v>38309000</v>
      </c>
      <c r="N1634" s="37" t="s">
        <v>1443</v>
      </c>
      <c r="O1634" s="37" t="s">
        <v>8</v>
      </c>
      <c r="P1634" s="47" t="str">
        <f>IF(AND('331-CT'!$F$5=TH!H1634,OR(N1634="331",O1634="331")),"x","")</f>
        <v/>
      </c>
      <c r="Q1634" s="47" t="str">
        <f>IF(AND(B1634='111'!$L$11,OR($N1634=$Q$7,$O1634=$Q$7)),"x","")</f>
        <v/>
      </c>
      <c r="R1634" s="47" t="str">
        <f>IF(AND($N1634=$Q$7,$B1634&lt;'111'!$L$11),"x","")</f>
        <v/>
      </c>
      <c r="S1634" s="47" t="str">
        <f>IF(AND($O1634=$Q$7,$B1634&lt;'111'!$L$11),"x","")</f>
        <v/>
      </c>
    </row>
    <row r="1635" spans="1:19" ht="15.75" customHeight="1">
      <c r="A1635" s="152" t="str">
        <f>IF(B1635&lt;&gt;"",IF(AND(B1635='IN-TC'!$S$4,OR(TH!N1635="1111",TH!O1635="1111")),TH!D1635,""),"")</f>
        <v/>
      </c>
      <c r="B1635" s="34">
        <f t="shared" si="58"/>
        <v>9</v>
      </c>
      <c r="C1635" s="35">
        <f t="shared" si="59"/>
        <v>42641</v>
      </c>
      <c r="D1635" s="212"/>
      <c r="E1635" s="35">
        <v>42641</v>
      </c>
      <c r="F1635" s="144" t="s">
        <v>1510</v>
      </c>
      <c r="G1635" s="191"/>
      <c r="H1635" s="198" t="s">
        <v>834</v>
      </c>
      <c r="I1635" s="186">
        <v>534</v>
      </c>
      <c r="J1635" s="186">
        <v>251989</v>
      </c>
      <c r="K1635" s="185"/>
      <c r="L1635" s="186"/>
      <c r="M1635" s="36">
        <f>ROUND(I1635*J1635,-3)</f>
        <v>134562000</v>
      </c>
      <c r="N1635" s="37" t="s">
        <v>1443</v>
      </c>
      <c r="O1635" s="37" t="s">
        <v>8</v>
      </c>
      <c r="P1635" s="47" t="str">
        <f>IF(AND('331-CT'!$F$5=TH!H1635,OR(N1635="331",O1635="331")),"x","")</f>
        <v/>
      </c>
      <c r="Q1635" s="47" t="str">
        <f>IF(AND(B1635='111'!$L$11,OR($N1635=$Q$7,$O1635=$Q$7)),"x","")</f>
        <v/>
      </c>
      <c r="R1635" s="47" t="str">
        <f>IF(AND($N1635=$Q$7,$B1635&lt;'111'!$L$11),"x","")</f>
        <v/>
      </c>
      <c r="S1635" s="47" t="str">
        <f>IF(AND($O1635=$Q$7,$B1635&lt;'111'!$L$11),"x","")</f>
        <v/>
      </c>
    </row>
    <row r="1636" spans="1:19" ht="15.75" customHeight="1">
      <c r="A1636" s="152" t="str">
        <f>IF(B1636&lt;&gt;"",IF(AND(B1636='IN-TC'!$S$4,OR(TH!N1636="1111",TH!O1636="1111")),TH!D1636,""),"")</f>
        <v/>
      </c>
      <c r="B1636" s="34">
        <f t="shared" si="58"/>
        <v>9</v>
      </c>
      <c r="C1636" s="35">
        <f t="shared" si="59"/>
        <v>42642</v>
      </c>
      <c r="D1636" s="212" t="s">
        <v>976</v>
      </c>
      <c r="E1636" s="35">
        <v>42642</v>
      </c>
      <c r="F1636" s="144" t="s">
        <v>1269</v>
      </c>
      <c r="G1636" s="191" t="s">
        <v>207</v>
      </c>
      <c r="H1636" s="198"/>
      <c r="I1636" s="186"/>
      <c r="J1636" s="186"/>
      <c r="K1636" s="185"/>
      <c r="L1636" s="186"/>
      <c r="M1636" s="36">
        <v>3790000</v>
      </c>
      <c r="N1636" s="37"/>
      <c r="O1636" s="37" t="s">
        <v>34</v>
      </c>
      <c r="P1636" s="47" t="str">
        <f>IF(AND('331-CT'!$F$5=TH!H1636,OR(N1636="331",O1636="331")),"x","")</f>
        <v/>
      </c>
      <c r="Q1636" s="47" t="str">
        <f>IF(AND(B1636='111'!$L$11,OR($N1636=$Q$7,$O1636=$Q$7)),"x","")</f>
        <v/>
      </c>
      <c r="R1636" s="47" t="str">
        <f>IF(AND($N1636=$Q$7,$B1636&lt;'111'!$L$11),"x","")</f>
        <v/>
      </c>
      <c r="S1636" s="47" t="str">
        <f>IF(AND($O1636=$Q$7,$B1636&lt;'111'!$L$11),"x","")</f>
        <v>x</v>
      </c>
    </row>
    <row r="1637" spans="1:19" ht="15.75" customHeight="1">
      <c r="A1637" s="152" t="str">
        <f>IF(B1637&lt;&gt;"",IF(AND(B1637='IN-TC'!$S$4,OR(TH!N1637="1111",TH!O1637="1111")),TH!D1637,""),"")</f>
        <v/>
      </c>
      <c r="B1637" s="34">
        <f t="shared" si="58"/>
        <v>9</v>
      </c>
      <c r="C1637" s="35">
        <f t="shared" si="59"/>
        <v>42642</v>
      </c>
      <c r="D1637" s="212" t="s">
        <v>977</v>
      </c>
      <c r="E1637" s="35">
        <v>42642</v>
      </c>
      <c r="F1637" s="144" t="s">
        <v>1270</v>
      </c>
      <c r="G1637" s="191"/>
      <c r="H1637" s="198"/>
      <c r="I1637" s="186"/>
      <c r="J1637" s="186"/>
      <c r="K1637" s="185"/>
      <c r="L1637" s="186"/>
      <c r="M1637" s="36">
        <v>220000</v>
      </c>
      <c r="N1637" s="37"/>
      <c r="O1637" s="37" t="s">
        <v>34</v>
      </c>
      <c r="P1637" s="47" t="str">
        <f>IF(AND('331-CT'!$F$5=TH!H1637,OR(N1637="331",O1637="331")),"x","")</f>
        <v/>
      </c>
      <c r="Q1637" s="47" t="str">
        <f>IF(AND(B1637='111'!$L$11,OR($N1637=$Q$7,$O1637=$Q$7)),"x","")</f>
        <v/>
      </c>
      <c r="R1637" s="47" t="str">
        <f>IF(AND($N1637=$Q$7,$B1637&lt;'111'!$L$11),"x","")</f>
        <v/>
      </c>
      <c r="S1637" s="47" t="str">
        <f>IF(AND($O1637=$Q$7,$B1637&lt;'111'!$L$11),"x","")</f>
        <v>x</v>
      </c>
    </row>
    <row r="1638" spans="1:19" ht="15.75" customHeight="1">
      <c r="A1638" s="152" t="str">
        <f>IF(B1638&lt;&gt;"",IF(AND(B1638='IN-TC'!$S$4,OR(TH!N1638="1111",TH!O1638="1111")),TH!D1638,""),"")</f>
        <v/>
      </c>
      <c r="B1638" s="34">
        <f t="shared" si="58"/>
        <v>9</v>
      </c>
      <c r="C1638" s="35">
        <f t="shared" si="59"/>
        <v>42642</v>
      </c>
      <c r="D1638" s="212" t="s">
        <v>1135</v>
      </c>
      <c r="E1638" s="35">
        <v>42642</v>
      </c>
      <c r="F1638" s="144" t="s">
        <v>1243</v>
      </c>
      <c r="G1638" s="191" t="s">
        <v>105</v>
      </c>
      <c r="H1638" s="198" t="s">
        <v>1434</v>
      </c>
      <c r="I1638" s="186"/>
      <c r="J1638" s="186"/>
      <c r="K1638" s="185"/>
      <c r="L1638" s="186"/>
      <c r="M1638" s="36">
        <v>30000000</v>
      </c>
      <c r="N1638" s="37" t="s">
        <v>34</v>
      </c>
      <c r="O1638" s="37" t="s">
        <v>812</v>
      </c>
      <c r="P1638" s="47" t="str">
        <f>IF(AND('331-CT'!$F$5=TH!H1638,OR(N1638="331",O1638="331")),"x","")</f>
        <v/>
      </c>
      <c r="Q1638" s="47" t="str">
        <f>IF(AND(B1638='111'!$L$11,OR($N1638=$Q$7,$O1638=$Q$7)),"x","")</f>
        <v/>
      </c>
      <c r="R1638" s="47" t="str">
        <f>IF(AND($N1638=$Q$7,$B1638&lt;'111'!$L$11),"x","")</f>
        <v>x</v>
      </c>
      <c r="S1638" s="47" t="str">
        <f>IF(AND($O1638=$Q$7,$B1638&lt;'111'!$L$11),"x","")</f>
        <v/>
      </c>
    </row>
    <row r="1639" spans="1:19" ht="15.75" customHeight="1">
      <c r="A1639" s="152" t="str">
        <f>IF(B1639&lt;&gt;"",IF(AND(B1639='IN-TC'!$S$4,OR(TH!N1639="1111",TH!O1639="1111")),TH!D1639,""),"")</f>
        <v/>
      </c>
      <c r="B1639" s="34">
        <f t="shared" si="58"/>
        <v>9</v>
      </c>
      <c r="C1639" s="35">
        <f t="shared" si="59"/>
        <v>42642</v>
      </c>
      <c r="D1639" s="212" t="s">
        <v>978</v>
      </c>
      <c r="E1639" s="35">
        <v>42642</v>
      </c>
      <c r="F1639" s="144" t="s">
        <v>1275</v>
      </c>
      <c r="G1639" s="191" t="s">
        <v>104</v>
      </c>
      <c r="H1639" s="198"/>
      <c r="I1639" s="186"/>
      <c r="J1639" s="186"/>
      <c r="K1639" s="185"/>
      <c r="L1639" s="186"/>
      <c r="M1639" s="36">
        <v>30000000</v>
      </c>
      <c r="N1639" s="37"/>
      <c r="O1639" s="37" t="s">
        <v>34</v>
      </c>
      <c r="P1639" s="47" t="str">
        <f>IF(AND('331-CT'!$F$5=TH!H1639,OR(N1639="331",O1639="331")),"x","")</f>
        <v/>
      </c>
      <c r="Q1639" s="47" t="str">
        <f>IF(AND(B1639='111'!$L$11,OR($N1639=$Q$7,$O1639=$Q$7)),"x","")</f>
        <v/>
      </c>
      <c r="R1639" s="47" t="str">
        <f>IF(AND($N1639=$Q$7,$B1639&lt;'111'!$L$11),"x","")</f>
        <v/>
      </c>
      <c r="S1639" s="47" t="str">
        <f>IF(AND($O1639=$Q$7,$B1639&lt;'111'!$L$11),"x","")</f>
        <v>x</v>
      </c>
    </row>
    <row r="1640" spans="1:19" ht="15.75" customHeight="1">
      <c r="A1640" s="152" t="str">
        <f>IF(B1640&lt;&gt;"",IF(AND(B1640='IN-TC'!$S$4,OR(TH!N1640="1111",TH!O1640="1111")),TH!D1640,""),"")</f>
        <v/>
      </c>
      <c r="B1640" s="34">
        <f t="shared" si="58"/>
        <v>9</v>
      </c>
      <c r="C1640" s="35">
        <f t="shared" si="59"/>
        <v>42642</v>
      </c>
      <c r="D1640" s="212" t="s">
        <v>979</v>
      </c>
      <c r="E1640" s="35">
        <v>42642</v>
      </c>
      <c r="F1640" s="144" t="s">
        <v>1276</v>
      </c>
      <c r="G1640" s="191"/>
      <c r="H1640" s="198"/>
      <c r="I1640" s="186"/>
      <c r="J1640" s="186"/>
      <c r="K1640" s="185"/>
      <c r="L1640" s="186"/>
      <c r="M1640" s="36">
        <v>2719000</v>
      </c>
      <c r="N1640" s="37"/>
      <c r="O1640" s="37" t="s">
        <v>34</v>
      </c>
      <c r="P1640" s="47" t="str">
        <f>IF(AND('331-CT'!$F$5=TH!H1640,OR(N1640="331",O1640="331")),"x","")</f>
        <v/>
      </c>
      <c r="Q1640" s="47" t="str">
        <f>IF(AND(B1640='111'!$L$11,OR($N1640=$Q$7,$O1640=$Q$7)),"x","")</f>
        <v/>
      </c>
      <c r="R1640" s="47" t="str">
        <f>IF(AND($N1640=$Q$7,$B1640&lt;'111'!$L$11),"x","")</f>
        <v/>
      </c>
      <c r="S1640" s="47" t="str">
        <f>IF(AND($O1640=$Q$7,$B1640&lt;'111'!$L$11),"x","")</f>
        <v>x</v>
      </c>
    </row>
    <row r="1641" spans="1:19" ht="15.75" customHeight="1">
      <c r="A1641" s="152" t="str">
        <f>IF(B1641&lt;&gt;"",IF(AND(B1641='IN-TC'!$S$4,OR(TH!N1641="1111",TH!O1641="1111")),TH!D1641,""),"")</f>
        <v/>
      </c>
      <c r="B1641" s="34">
        <f t="shared" si="58"/>
        <v>9</v>
      </c>
      <c r="C1641" s="35">
        <f t="shared" si="59"/>
        <v>42642</v>
      </c>
      <c r="D1641" s="212" t="s">
        <v>1172</v>
      </c>
      <c r="E1641" s="35">
        <v>42642</v>
      </c>
      <c r="F1641" s="144" t="s">
        <v>1277</v>
      </c>
      <c r="G1641" s="191" t="s">
        <v>110</v>
      </c>
      <c r="H1641" s="198"/>
      <c r="I1641" s="186"/>
      <c r="J1641" s="186"/>
      <c r="K1641" s="185"/>
      <c r="L1641" s="186"/>
      <c r="M1641" s="36">
        <v>1000000</v>
      </c>
      <c r="N1641" s="37" t="s">
        <v>34</v>
      </c>
      <c r="O1641" s="37"/>
      <c r="P1641" s="47" t="str">
        <f>IF(AND('331-CT'!$F$5=TH!H1641,OR(N1641="331",O1641="331")),"x","")</f>
        <v/>
      </c>
      <c r="Q1641" s="47" t="str">
        <f>IF(AND(B1641='111'!$L$11,OR($N1641=$Q$7,$O1641=$Q$7)),"x","")</f>
        <v/>
      </c>
      <c r="R1641" s="47" t="str">
        <f>IF(AND($N1641=$Q$7,$B1641&lt;'111'!$L$11),"x","")</f>
        <v>x</v>
      </c>
      <c r="S1641" s="47" t="str">
        <f>IF(AND($O1641=$Q$7,$B1641&lt;'111'!$L$11),"x","")</f>
        <v/>
      </c>
    </row>
    <row r="1642" spans="1:19" ht="15.75" customHeight="1">
      <c r="A1642" s="152" t="str">
        <f>IF(B1642&lt;&gt;"",IF(AND(B1642='IN-TC'!$S$4,OR(TH!N1642="1111",TH!O1642="1111")),TH!D1642,""),"")</f>
        <v/>
      </c>
      <c r="B1642" s="34">
        <f t="shared" si="58"/>
        <v>9</v>
      </c>
      <c r="C1642" s="35">
        <f t="shared" si="59"/>
        <v>42642</v>
      </c>
      <c r="D1642" s="212" t="s">
        <v>980</v>
      </c>
      <c r="E1642" s="35">
        <v>42642</v>
      </c>
      <c r="F1642" s="144" t="s">
        <v>1278</v>
      </c>
      <c r="G1642" s="191"/>
      <c r="H1642" s="198"/>
      <c r="I1642" s="186"/>
      <c r="J1642" s="186"/>
      <c r="K1642" s="185"/>
      <c r="L1642" s="186"/>
      <c r="M1642" s="36">
        <v>1008000</v>
      </c>
      <c r="N1642" s="37"/>
      <c r="O1642" s="37" t="s">
        <v>34</v>
      </c>
      <c r="P1642" s="47" t="str">
        <f>IF(AND('331-CT'!$F$5=TH!H1642,OR(N1642="331",O1642="331")),"x","")</f>
        <v/>
      </c>
      <c r="Q1642" s="47" t="str">
        <f>IF(AND(B1642='111'!$L$11,OR($N1642=$Q$7,$O1642=$Q$7)),"x","")</f>
        <v/>
      </c>
      <c r="R1642" s="47" t="str">
        <f>IF(AND($N1642=$Q$7,$B1642&lt;'111'!$L$11),"x","")</f>
        <v/>
      </c>
      <c r="S1642" s="47" t="str">
        <f>IF(AND($O1642=$Q$7,$B1642&lt;'111'!$L$11),"x","")</f>
        <v>x</v>
      </c>
    </row>
    <row r="1643" spans="1:19" ht="15.75" customHeight="1">
      <c r="A1643" s="152" t="str">
        <f>IF(B1643&lt;&gt;"",IF(AND(B1643='IN-TC'!$S$4,OR(TH!N1643="1111",TH!O1643="1111")),TH!D1643,""),"")</f>
        <v/>
      </c>
      <c r="B1643" s="34">
        <f t="shared" si="58"/>
        <v>9</v>
      </c>
      <c r="C1643" s="35">
        <f t="shared" si="59"/>
        <v>42642</v>
      </c>
      <c r="D1643" s="212"/>
      <c r="E1643" s="35">
        <v>42642</v>
      </c>
      <c r="F1643" s="144" t="s">
        <v>1456</v>
      </c>
      <c r="G1643" s="191"/>
      <c r="H1643" s="198" t="s">
        <v>1422</v>
      </c>
      <c r="I1643" s="186"/>
      <c r="J1643" s="186"/>
      <c r="K1643" s="185"/>
      <c r="L1643" s="186"/>
      <c r="M1643" s="36">
        <v>2014000</v>
      </c>
      <c r="N1643" s="37" t="s">
        <v>8</v>
      </c>
      <c r="O1643" s="37" t="s">
        <v>1457</v>
      </c>
      <c r="P1643" s="47" t="str">
        <f>IF(AND('331-CT'!$F$5=TH!H1643,OR(N1643="331",O1643="331")),"x","")</f>
        <v/>
      </c>
      <c r="Q1643" s="47" t="str">
        <f>IF(AND(B1643='111'!$L$11,OR($N1643=$Q$7,$O1643=$Q$7)),"x","")</f>
        <v/>
      </c>
      <c r="R1643" s="47" t="str">
        <f>IF(AND($N1643=$Q$7,$B1643&lt;'111'!$L$11),"x","")</f>
        <v/>
      </c>
      <c r="S1643" s="47" t="str">
        <f>IF(AND($O1643=$Q$7,$B1643&lt;'111'!$L$11),"x","")</f>
        <v/>
      </c>
    </row>
    <row r="1644" spans="1:19" ht="15.75" customHeight="1">
      <c r="A1644" s="152" t="str">
        <f>IF(B1644&lt;&gt;"",IF(AND(B1644='IN-TC'!$S$4,OR(TH!N1644="1111",TH!O1644="1111")),TH!D1644,""),"")</f>
        <v/>
      </c>
      <c r="B1644" s="34">
        <f t="shared" si="58"/>
        <v>9</v>
      </c>
      <c r="C1644" s="35">
        <f t="shared" si="59"/>
        <v>42642</v>
      </c>
      <c r="D1644" s="212"/>
      <c r="E1644" s="35">
        <v>42642</v>
      </c>
      <c r="F1644" s="144" t="s">
        <v>1466</v>
      </c>
      <c r="G1644" s="191" t="s">
        <v>204</v>
      </c>
      <c r="H1644" s="198" t="s">
        <v>832</v>
      </c>
      <c r="I1644" s="186">
        <v>1482</v>
      </c>
      <c r="J1644" s="186">
        <v>16000</v>
      </c>
      <c r="K1644" s="185"/>
      <c r="L1644" s="186"/>
      <c r="M1644" s="36">
        <f>ROUND(I1644*J1644,0)</f>
        <v>23712000</v>
      </c>
      <c r="N1644" s="37" t="s">
        <v>1443</v>
      </c>
      <c r="O1644" s="37" t="s">
        <v>8</v>
      </c>
      <c r="P1644" s="47" t="str">
        <f>IF(AND('331-CT'!$F$5=TH!H1644,OR(N1644="331",O1644="331")),"x","")</f>
        <v/>
      </c>
      <c r="Q1644" s="47" t="str">
        <f>IF(AND(B1644='111'!$L$11,OR($N1644=$Q$7,$O1644=$Q$7)),"x","")</f>
        <v/>
      </c>
      <c r="R1644" s="47" t="str">
        <f>IF(AND($N1644=$Q$7,$B1644&lt;'111'!$L$11),"x","")</f>
        <v/>
      </c>
      <c r="S1644" s="47" t="str">
        <f>IF(AND($O1644=$Q$7,$B1644&lt;'111'!$L$11),"x","")</f>
        <v/>
      </c>
    </row>
    <row r="1645" spans="1:19" ht="15.75" customHeight="1">
      <c r="A1645" s="152" t="str">
        <f>IF(B1645&lt;&gt;"",IF(AND(B1645='IN-TC'!$S$4,OR(TH!N1645="1111",TH!O1645="1111")),TH!D1645,""),"")</f>
        <v/>
      </c>
      <c r="B1645" s="34">
        <f t="shared" si="58"/>
        <v>9</v>
      </c>
      <c r="C1645" s="35">
        <f t="shared" si="59"/>
        <v>42642</v>
      </c>
      <c r="D1645" s="212"/>
      <c r="E1645" s="35">
        <v>42642</v>
      </c>
      <c r="F1645" s="144" t="s">
        <v>1469</v>
      </c>
      <c r="G1645" s="191"/>
      <c r="H1645" s="198" t="s">
        <v>1420</v>
      </c>
      <c r="I1645" s="186">
        <v>2808</v>
      </c>
      <c r="J1645" s="186">
        <v>22000</v>
      </c>
      <c r="K1645" s="185"/>
      <c r="L1645" s="186"/>
      <c r="M1645" s="36">
        <f>ROUND(I1645*J1645,-3)</f>
        <v>61776000</v>
      </c>
      <c r="N1645" s="37" t="s">
        <v>1443</v>
      </c>
      <c r="O1645" s="37" t="s">
        <v>8</v>
      </c>
      <c r="P1645" s="47" t="str">
        <f>IF(AND('331-CT'!$F$5=TH!H1645,OR(N1645="331",O1645="331")),"x","")</f>
        <v/>
      </c>
      <c r="Q1645" s="47" t="str">
        <f>IF(AND(B1645='111'!$L$11,OR($N1645=$Q$7,$O1645=$Q$7)),"x","")</f>
        <v/>
      </c>
      <c r="R1645" s="47" t="str">
        <f>IF(AND($N1645=$Q$7,$B1645&lt;'111'!$L$11),"x","")</f>
        <v/>
      </c>
      <c r="S1645" s="47" t="str">
        <f>IF(AND($O1645=$Q$7,$B1645&lt;'111'!$L$11),"x","")</f>
        <v/>
      </c>
    </row>
    <row r="1646" spans="1:19" ht="15.75" customHeight="1">
      <c r="A1646" s="152" t="str">
        <f>IF(B1646&lt;&gt;"",IF(AND(B1646='IN-TC'!$S$4,OR(TH!N1646="1111",TH!O1646="1111")),TH!D1646,""),"")</f>
        <v/>
      </c>
      <c r="B1646" s="34">
        <f t="shared" si="58"/>
        <v>9</v>
      </c>
      <c r="C1646" s="35">
        <f t="shared" si="59"/>
        <v>42642</v>
      </c>
      <c r="D1646" s="212"/>
      <c r="E1646" s="35">
        <v>42642</v>
      </c>
      <c r="F1646" s="144" t="s">
        <v>1466</v>
      </c>
      <c r="G1646" s="191"/>
      <c r="H1646" s="198" t="s">
        <v>1420</v>
      </c>
      <c r="I1646" s="186">
        <v>1611</v>
      </c>
      <c r="J1646" s="186">
        <v>15500</v>
      </c>
      <c r="K1646" s="185"/>
      <c r="L1646" s="186"/>
      <c r="M1646" s="36">
        <f>ROUND(I1646*J1646,-3)-1000</f>
        <v>24970000</v>
      </c>
      <c r="N1646" s="37" t="s">
        <v>1443</v>
      </c>
      <c r="O1646" s="37" t="s">
        <v>8</v>
      </c>
      <c r="P1646" s="47" t="str">
        <f>IF(AND('331-CT'!$F$5=TH!H1646,OR(N1646="331",O1646="331")),"x","")</f>
        <v/>
      </c>
      <c r="Q1646" s="47" t="str">
        <f>IF(AND(B1646='111'!$L$11,OR($N1646=$Q$7,$O1646=$Q$7)),"x","")</f>
        <v/>
      </c>
      <c r="R1646" s="47" t="str">
        <f>IF(AND($N1646=$Q$7,$B1646&lt;'111'!$L$11),"x","")</f>
        <v/>
      </c>
      <c r="S1646" s="47" t="str">
        <f>IF(AND($O1646=$Q$7,$B1646&lt;'111'!$L$11),"x","")</f>
        <v/>
      </c>
    </row>
    <row r="1647" spans="1:19" ht="15.75" customHeight="1">
      <c r="A1647" s="152" t="str">
        <f>IF(B1647&lt;&gt;"",IF(AND(B1647='IN-TC'!$S$4,OR(TH!N1647="1111",TH!O1647="1111")),TH!D1647,""),"")</f>
        <v/>
      </c>
      <c r="B1647" s="34">
        <f t="shared" si="58"/>
        <v>9</v>
      </c>
      <c r="C1647" s="35">
        <f t="shared" si="59"/>
        <v>42643</v>
      </c>
      <c r="D1647" s="212"/>
      <c r="E1647" s="35">
        <v>42643</v>
      </c>
      <c r="F1647" s="144" t="s">
        <v>1451</v>
      </c>
      <c r="G1647" s="191"/>
      <c r="H1647" s="198" t="s">
        <v>1421</v>
      </c>
      <c r="I1647" s="186">
        <v>1810</v>
      </c>
      <c r="J1647" s="186">
        <v>14500</v>
      </c>
      <c r="K1647" s="185"/>
      <c r="L1647" s="186"/>
      <c r="M1647" s="36">
        <f>ROUND(I1647*J1647,-3)</f>
        <v>26245000</v>
      </c>
      <c r="N1647" s="37" t="s">
        <v>1443</v>
      </c>
      <c r="O1647" s="37" t="s">
        <v>8</v>
      </c>
      <c r="P1647" s="47" t="str">
        <f>IF(AND('331-CT'!$F$5=TH!H1647,OR(N1647="331",O1647="331")),"x","")</f>
        <v/>
      </c>
      <c r="Q1647" s="47" t="str">
        <f>IF(AND(B1647='111'!$L$11,OR($N1647=$Q$7,$O1647=$Q$7)),"x","")</f>
        <v/>
      </c>
      <c r="R1647" s="47" t="str">
        <f>IF(AND($N1647=$Q$7,$B1647&lt;'111'!$L$11),"x","")</f>
        <v/>
      </c>
      <c r="S1647" s="47" t="str">
        <f>IF(AND($O1647=$Q$7,$B1647&lt;'111'!$L$11),"x","")</f>
        <v/>
      </c>
    </row>
    <row r="1648" spans="1:19" ht="15.75" customHeight="1">
      <c r="A1648" s="152" t="str">
        <f>IF(B1648&lt;&gt;"",IF(AND(B1648='IN-TC'!$S$4,OR(TH!N1648="1111",TH!O1648="1111")),TH!D1648,""),"")</f>
        <v>T01</v>
      </c>
      <c r="B1648" s="34">
        <f t="shared" si="58"/>
        <v>10</v>
      </c>
      <c r="C1648" s="35">
        <f t="shared" si="59"/>
        <v>42644</v>
      </c>
      <c r="D1648" s="212" t="s">
        <v>934</v>
      </c>
      <c r="E1648" s="35">
        <v>42644</v>
      </c>
      <c r="F1648" s="144" t="s">
        <v>132</v>
      </c>
      <c r="G1648" s="191" t="s">
        <v>104</v>
      </c>
      <c r="H1648" s="198"/>
      <c r="I1648" s="186"/>
      <c r="J1648" s="186"/>
      <c r="K1648" s="185"/>
      <c r="L1648" s="186"/>
      <c r="M1648" s="36">
        <v>940000000</v>
      </c>
      <c r="N1648" s="37" t="s">
        <v>34</v>
      </c>
      <c r="O1648" s="37"/>
      <c r="P1648" s="47" t="str">
        <f>IF(AND('331-CT'!$F$5=TH!H1648,OR(N1648="331",O1648="331")),"x","")</f>
        <v/>
      </c>
      <c r="Q1648" s="47" t="str">
        <f>IF(AND(B1648='111'!$L$11,OR($N1648=$Q$7,$O1648=$Q$7)),"x","")</f>
        <v/>
      </c>
      <c r="R1648" s="47" t="str">
        <f>IF(AND($N1648=$Q$7,$B1648&lt;'111'!$L$11),"x","")</f>
        <v>x</v>
      </c>
      <c r="S1648" s="47" t="str">
        <f>IF(AND($O1648=$Q$7,$B1648&lt;'111'!$L$11),"x","")</f>
        <v/>
      </c>
    </row>
    <row r="1649" spans="1:19" ht="15.75" customHeight="1">
      <c r="A1649" s="152" t="str">
        <f>IF(B1649&lt;&gt;"",IF(AND(B1649='IN-TC'!$S$4,OR(TH!N1649="1111",TH!O1649="1111")),TH!D1649,""),"")</f>
        <v>C01</v>
      </c>
      <c r="B1649" s="34">
        <f t="shared" si="58"/>
        <v>10</v>
      </c>
      <c r="C1649" s="35">
        <f t="shared" si="59"/>
        <v>42644</v>
      </c>
      <c r="D1649" s="212" t="s">
        <v>860</v>
      </c>
      <c r="E1649" s="35">
        <v>42644</v>
      </c>
      <c r="F1649" s="144" t="s">
        <v>1390</v>
      </c>
      <c r="G1649" s="191" t="s">
        <v>206</v>
      </c>
      <c r="H1649" s="198" t="s">
        <v>820</v>
      </c>
      <c r="I1649" s="186"/>
      <c r="J1649" s="186"/>
      <c r="K1649" s="185"/>
      <c r="L1649" s="186"/>
      <c r="M1649" s="36">
        <v>104000000</v>
      </c>
      <c r="N1649" s="37" t="s">
        <v>8</v>
      </c>
      <c r="O1649" s="37" t="s">
        <v>34</v>
      </c>
      <c r="P1649" s="47" t="str">
        <f>IF(AND('331-CT'!$F$5=TH!H1649,OR(N1649="331",O1649="331")),"x","")</f>
        <v/>
      </c>
      <c r="Q1649" s="47" t="str">
        <f>IF(AND(B1649='111'!$L$11,OR($N1649=$Q$7,$O1649=$Q$7)),"x","")</f>
        <v/>
      </c>
      <c r="R1649" s="47" t="str">
        <f>IF(AND($N1649=$Q$7,$B1649&lt;'111'!$L$11),"x","")</f>
        <v/>
      </c>
      <c r="S1649" s="47" t="str">
        <f>IF(AND($O1649=$Q$7,$B1649&lt;'111'!$L$11),"x","")</f>
        <v>x</v>
      </c>
    </row>
    <row r="1650" spans="1:19" ht="15.75" customHeight="1">
      <c r="A1650" s="152" t="str">
        <f>IF(B1650&lt;&gt;"",IF(AND(B1650='IN-TC'!$S$4,OR(TH!N1650="1111",TH!O1650="1111")),TH!D1650,""),"")</f>
        <v>C02</v>
      </c>
      <c r="B1650" s="34">
        <f t="shared" si="58"/>
        <v>10</v>
      </c>
      <c r="C1650" s="35">
        <f t="shared" si="59"/>
        <v>42644</v>
      </c>
      <c r="D1650" s="212" t="s">
        <v>861</v>
      </c>
      <c r="E1650" s="35">
        <v>42644</v>
      </c>
      <c r="F1650" s="144" t="s">
        <v>333</v>
      </c>
      <c r="G1650" s="191" t="s">
        <v>206</v>
      </c>
      <c r="H1650" s="198" t="s">
        <v>821</v>
      </c>
      <c r="I1650" s="186"/>
      <c r="J1650" s="186"/>
      <c r="K1650" s="185"/>
      <c r="L1650" s="186"/>
      <c r="M1650" s="36">
        <v>100000000</v>
      </c>
      <c r="N1650" s="37" t="s">
        <v>8</v>
      </c>
      <c r="O1650" s="37" t="s">
        <v>34</v>
      </c>
      <c r="P1650" s="47" t="str">
        <f>IF(AND('331-CT'!$F$5=TH!H1650,OR(N1650="331",O1650="331")),"x","")</f>
        <v/>
      </c>
      <c r="Q1650" s="47" t="str">
        <f>IF(AND(B1650='111'!$L$11,OR($N1650=$Q$7,$O1650=$Q$7)),"x","")</f>
        <v/>
      </c>
      <c r="R1650" s="47" t="str">
        <f>IF(AND($N1650=$Q$7,$B1650&lt;'111'!$L$11),"x","")</f>
        <v/>
      </c>
      <c r="S1650" s="47" t="str">
        <f>IF(AND($O1650=$Q$7,$B1650&lt;'111'!$L$11),"x","")</f>
        <v>x</v>
      </c>
    </row>
    <row r="1651" spans="1:19" ht="15.75" customHeight="1">
      <c r="A1651" s="152" t="str">
        <f>IF(B1651&lt;&gt;"",IF(AND(B1651='IN-TC'!$S$4,OR(TH!N1651="1111",TH!O1651="1111")),TH!D1651,""),"")</f>
        <v>C02</v>
      </c>
      <c r="B1651" s="34">
        <f t="shared" si="58"/>
        <v>10</v>
      </c>
      <c r="C1651" s="35">
        <f t="shared" si="59"/>
        <v>42644</v>
      </c>
      <c r="D1651" s="212" t="s">
        <v>861</v>
      </c>
      <c r="E1651" s="35">
        <v>42644</v>
      </c>
      <c r="F1651" s="144" t="s">
        <v>1424</v>
      </c>
      <c r="G1651" s="191"/>
      <c r="H1651" s="198"/>
      <c r="I1651" s="186"/>
      <c r="J1651" s="186"/>
      <c r="K1651" s="185"/>
      <c r="L1651" s="186"/>
      <c r="M1651" s="36">
        <v>30000</v>
      </c>
      <c r="N1651" s="37" t="s">
        <v>1425</v>
      </c>
      <c r="O1651" s="37" t="s">
        <v>34</v>
      </c>
      <c r="P1651" s="47" t="str">
        <f>IF(AND('331-CT'!$F$5=TH!H1651,OR(N1651="331",O1651="331")),"x","")</f>
        <v/>
      </c>
      <c r="Q1651" s="47" t="str">
        <f>IF(AND(B1651='111'!$L$11,OR($N1651=$Q$7,$O1651=$Q$7)),"x","")</f>
        <v/>
      </c>
      <c r="R1651" s="47" t="str">
        <f>IF(AND($N1651=$Q$7,$B1651&lt;'111'!$L$11),"x","")</f>
        <v/>
      </c>
      <c r="S1651" s="47" t="str">
        <f>IF(AND($O1651=$Q$7,$B1651&lt;'111'!$L$11),"x","")</f>
        <v>x</v>
      </c>
    </row>
    <row r="1652" spans="1:19" ht="15.75" customHeight="1">
      <c r="A1652" s="152" t="str">
        <f>IF(B1652&lt;&gt;"",IF(AND(B1652='IN-TC'!$S$4,OR(TH!N1652="1111",TH!O1652="1111")),TH!D1652,""),"")</f>
        <v>C03</v>
      </c>
      <c r="B1652" s="34">
        <f t="shared" si="58"/>
        <v>10</v>
      </c>
      <c r="C1652" s="35">
        <f t="shared" si="59"/>
        <v>42644</v>
      </c>
      <c r="D1652" s="212" t="s">
        <v>862</v>
      </c>
      <c r="E1652" s="35">
        <v>42644</v>
      </c>
      <c r="F1652" s="144" t="s">
        <v>1282</v>
      </c>
      <c r="G1652" s="191" t="s">
        <v>206</v>
      </c>
      <c r="H1652" s="198" t="s">
        <v>1079</v>
      </c>
      <c r="I1652" s="186"/>
      <c r="J1652" s="186"/>
      <c r="K1652" s="185"/>
      <c r="L1652" s="186"/>
      <c r="M1652" s="36">
        <v>73204000</v>
      </c>
      <c r="N1652" s="37" t="s">
        <v>8</v>
      </c>
      <c r="O1652" s="37" t="s">
        <v>34</v>
      </c>
      <c r="P1652" s="47" t="str">
        <f>IF(AND('331-CT'!$F$5=TH!H1652,OR(N1652="331",O1652="331")),"x","")</f>
        <v/>
      </c>
      <c r="Q1652" s="47" t="str">
        <f>IF(AND(B1652='111'!$L$11,OR($N1652=$Q$7,$O1652=$Q$7)),"x","")</f>
        <v/>
      </c>
      <c r="R1652" s="47" t="str">
        <f>IF(AND($N1652=$Q$7,$B1652&lt;'111'!$L$11),"x","")</f>
        <v/>
      </c>
      <c r="S1652" s="47" t="str">
        <f>IF(AND($O1652=$Q$7,$B1652&lt;'111'!$L$11),"x","")</f>
        <v>x</v>
      </c>
    </row>
    <row r="1653" spans="1:19" ht="15.75" customHeight="1">
      <c r="A1653" s="152" t="str">
        <f>IF(B1653&lt;&gt;"",IF(AND(B1653='IN-TC'!$S$4,OR(TH!N1653="1111",TH!O1653="1111")),TH!D1653,""),"")</f>
        <v>C04</v>
      </c>
      <c r="B1653" s="34">
        <f t="shared" si="58"/>
        <v>10</v>
      </c>
      <c r="C1653" s="35">
        <f t="shared" si="59"/>
        <v>42644</v>
      </c>
      <c r="D1653" s="212" t="s">
        <v>863</v>
      </c>
      <c r="E1653" s="35">
        <v>42644</v>
      </c>
      <c r="F1653" s="144" t="s">
        <v>1196</v>
      </c>
      <c r="G1653" s="191" t="s">
        <v>206</v>
      </c>
      <c r="H1653" s="198" t="s">
        <v>1420</v>
      </c>
      <c r="I1653" s="186"/>
      <c r="J1653" s="186"/>
      <c r="K1653" s="185"/>
      <c r="L1653" s="186"/>
      <c r="M1653" s="36">
        <v>200000000</v>
      </c>
      <c r="N1653" s="37" t="s">
        <v>8</v>
      </c>
      <c r="O1653" s="37" t="s">
        <v>34</v>
      </c>
      <c r="P1653" s="47" t="str">
        <f>IF(AND('331-CT'!$F$5=TH!H1653,OR(N1653="331",O1653="331")),"x","")</f>
        <v/>
      </c>
      <c r="Q1653" s="47" t="str">
        <f>IF(AND(B1653='111'!$L$11,OR($N1653=$Q$7,$O1653=$Q$7)),"x","")</f>
        <v/>
      </c>
      <c r="R1653" s="47" t="str">
        <f>IF(AND($N1653=$Q$7,$B1653&lt;'111'!$L$11),"x","")</f>
        <v/>
      </c>
      <c r="S1653" s="47" t="str">
        <f>IF(AND($O1653=$Q$7,$B1653&lt;'111'!$L$11),"x","")</f>
        <v>x</v>
      </c>
    </row>
    <row r="1654" spans="1:19" ht="15.75" customHeight="1">
      <c r="A1654" s="152" t="str">
        <f>IF(B1654&lt;&gt;"",IF(AND(B1654='IN-TC'!$S$4,OR(TH!N1654="1111",TH!O1654="1111")),TH!D1654,""),"")</f>
        <v>C05</v>
      </c>
      <c r="B1654" s="34">
        <f t="shared" si="58"/>
        <v>10</v>
      </c>
      <c r="C1654" s="35">
        <f t="shared" si="59"/>
        <v>42644</v>
      </c>
      <c r="D1654" s="212" t="s">
        <v>864</v>
      </c>
      <c r="E1654" s="35">
        <v>42644</v>
      </c>
      <c r="F1654" s="144" t="s">
        <v>382</v>
      </c>
      <c r="G1654" s="191" t="s">
        <v>206</v>
      </c>
      <c r="H1654" s="198" t="s">
        <v>848</v>
      </c>
      <c r="I1654" s="186"/>
      <c r="J1654" s="186"/>
      <c r="K1654" s="185"/>
      <c r="L1654" s="186"/>
      <c r="M1654" s="36">
        <v>150008000</v>
      </c>
      <c r="N1654" s="37" t="s">
        <v>8</v>
      </c>
      <c r="O1654" s="37" t="s">
        <v>34</v>
      </c>
      <c r="P1654" s="47" t="str">
        <f>IF(AND('331-CT'!$F$5=TH!H1654,OR(N1654="331",O1654="331")),"x","")</f>
        <v/>
      </c>
      <c r="Q1654" s="47" t="str">
        <f>IF(AND(B1654='111'!$L$11,OR($N1654=$Q$7,$O1654=$Q$7)),"x","")</f>
        <v/>
      </c>
      <c r="R1654" s="47" t="str">
        <f>IF(AND($N1654=$Q$7,$B1654&lt;'111'!$L$11),"x","")</f>
        <v/>
      </c>
      <c r="S1654" s="47" t="str">
        <f>IF(AND($O1654=$Q$7,$B1654&lt;'111'!$L$11),"x","")</f>
        <v>x</v>
      </c>
    </row>
    <row r="1655" spans="1:19" ht="15.75" customHeight="1">
      <c r="A1655" s="152" t="str">
        <f>IF(B1655&lt;&gt;"",IF(AND(B1655='IN-TC'!$S$4,OR(TH!N1655="1111",TH!O1655="1111")),TH!D1655,""),"")</f>
        <v>C05</v>
      </c>
      <c r="B1655" s="34">
        <f t="shared" si="58"/>
        <v>10</v>
      </c>
      <c r="C1655" s="35">
        <f t="shared" si="59"/>
        <v>42644</v>
      </c>
      <c r="D1655" s="212" t="s">
        <v>864</v>
      </c>
      <c r="E1655" s="35">
        <v>42644</v>
      </c>
      <c r="F1655" s="144" t="s">
        <v>1424</v>
      </c>
      <c r="G1655" s="191"/>
      <c r="H1655" s="198"/>
      <c r="I1655" s="186"/>
      <c r="J1655" s="186"/>
      <c r="K1655" s="185"/>
      <c r="L1655" s="186"/>
      <c r="M1655" s="36">
        <v>37000</v>
      </c>
      <c r="N1655" s="37" t="s">
        <v>8</v>
      </c>
      <c r="O1655" s="37" t="s">
        <v>34</v>
      </c>
      <c r="P1655" s="47" t="str">
        <f>IF(AND('331-CT'!$F$5=TH!H1655,OR(N1655="331",O1655="331")),"x","")</f>
        <v/>
      </c>
      <c r="Q1655" s="47" t="str">
        <f>IF(AND(B1655='111'!$L$11,OR($N1655=$Q$7,$O1655=$Q$7)),"x","")</f>
        <v/>
      </c>
      <c r="R1655" s="47" t="str">
        <f>IF(AND($N1655=$Q$7,$B1655&lt;'111'!$L$11),"x","")</f>
        <v/>
      </c>
      <c r="S1655" s="47" t="str">
        <f>IF(AND($O1655=$Q$7,$B1655&lt;'111'!$L$11),"x","")</f>
        <v>x</v>
      </c>
    </row>
    <row r="1656" spans="1:19" ht="15.75" customHeight="1">
      <c r="A1656" s="152" t="str">
        <f>IF(B1656&lt;&gt;"",IF(AND(B1656='IN-TC'!$S$4,OR(TH!N1656="1111",TH!O1656="1111")),TH!D1656,""),"")</f>
        <v>C06</v>
      </c>
      <c r="B1656" s="34">
        <f t="shared" si="58"/>
        <v>10</v>
      </c>
      <c r="C1656" s="35">
        <f t="shared" si="59"/>
        <v>42644</v>
      </c>
      <c r="D1656" s="212" t="s">
        <v>865</v>
      </c>
      <c r="E1656" s="35">
        <v>42644</v>
      </c>
      <c r="F1656" s="144" t="s">
        <v>1391</v>
      </c>
      <c r="G1656" s="191" t="s">
        <v>206</v>
      </c>
      <c r="H1656" s="198" t="s">
        <v>1128</v>
      </c>
      <c r="I1656" s="186"/>
      <c r="J1656" s="186"/>
      <c r="K1656" s="185"/>
      <c r="L1656" s="186"/>
      <c r="M1656" s="36">
        <v>98509000</v>
      </c>
      <c r="N1656" s="37" t="s">
        <v>8</v>
      </c>
      <c r="O1656" s="37" t="s">
        <v>34</v>
      </c>
      <c r="P1656" s="47" t="str">
        <f>IF(AND('331-CT'!$F$5=TH!H1656,OR(N1656="331",O1656="331")),"x","")</f>
        <v/>
      </c>
      <c r="Q1656" s="47" t="str">
        <f>IF(AND(B1656='111'!$L$11,OR($N1656=$Q$7,$O1656=$Q$7)),"x","")</f>
        <v/>
      </c>
      <c r="R1656" s="47" t="str">
        <f>IF(AND($N1656=$Q$7,$B1656&lt;'111'!$L$11),"x","")</f>
        <v/>
      </c>
      <c r="S1656" s="47" t="str">
        <f>IF(AND($O1656=$Q$7,$B1656&lt;'111'!$L$11),"x","")</f>
        <v>x</v>
      </c>
    </row>
    <row r="1657" spans="1:19" ht="15.75" customHeight="1">
      <c r="A1657" s="152" t="str">
        <f>IF(B1657&lt;&gt;"",IF(AND(B1657='IN-TC'!$S$4,OR(TH!N1657="1111",TH!O1657="1111")),TH!D1657,""),"")</f>
        <v>C07</v>
      </c>
      <c r="B1657" s="34">
        <f t="shared" si="58"/>
        <v>10</v>
      </c>
      <c r="C1657" s="35">
        <f t="shared" si="59"/>
        <v>42644</v>
      </c>
      <c r="D1657" s="212" t="s">
        <v>866</v>
      </c>
      <c r="E1657" s="35">
        <v>42644</v>
      </c>
      <c r="F1657" s="144" t="s">
        <v>1283</v>
      </c>
      <c r="G1657" s="191" t="s">
        <v>206</v>
      </c>
      <c r="H1657" s="198" t="s">
        <v>1123</v>
      </c>
      <c r="I1657" s="186"/>
      <c r="J1657" s="186"/>
      <c r="K1657" s="185"/>
      <c r="L1657" s="186"/>
      <c r="M1657" s="36">
        <v>58990000</v>
      </c>
      <c r="N1657" s="37" t="s">
        <v>8</v>
      </c>
      <c r="O1657" s="37" t="s">
        <v>34</v>
      </c>
      <c r="P1657" s="47" t="str">
        <f>IF(AND('331-CT'!$F$5=TH!H1657,OR(N1657="331",O1657="331")),"x","")</f>
        <v/>
      </c>
      <c r="Q1657" s="47" t="str">
        <f>IF(AND(B1657='111'!$L$11,OR($N1657=$Q$7,$O1657=$Q$7)),"x","")</f>
        <v/>
      </c>
      <c r="R1657" s="47" t="str">
        <f>IF(AND($N1657=$Q$7,$B1657&lt;'111'!$L$11),"x","")</f>
        <v/>
      </c>
      <c r="S1657" s="47" t="str">
        <f>IF(AND($O1657=$Q$7,$B1657&lt;'111'!$L$11),"x","")</f>
        <v>x</v>
      </c>
    </row>
    <row r="1658" spans="1:19" ht="15.75" customHeight="1">
      <c r="A1658" s="152" t="str">
        <f>IF(B1658&lt;&gt;"",IF(AND(B1658='IN-TC'!$S$4,OR(TH!N1658="1111",TH!O1658="1111")),TH!D1658,""),"")</f>
        <v>C07</v>
      </c>
      <c r="B1658" s="34">
        <f t="shared" si="58"/>
        <v>10</v>
      </c>
      <c r="C1658" s="35">
        <f t="shared" si="59"/>
        <v>42644</v>
      </c>
      <c r="D1658" s="212" t="s">
        <v>866</v>
      </c>
      <c r="E1658" s="35">
        <v>42644</v>
      </c>
      <c r="F1658" s="144" t="s">
        <v>1424</v>
      </c>
      <c r="G1658" s="191"/>
      <c r="H1658" s="198"/>
      <c r="I1658" s="186"/>
      <c r="J1658" s="186"/>
      <c r="K1658" s="185"/>
      <c r="L1658" s="186"/>
      <c r="M1658" s="36">
        <v>17000</v>
      </c>
      <c r="N1658" s="37" t="s">
        <v>1425</v>
      </c>
      <c r="O1658" s="37" t="s">
        <v>34</v>
      </c>
      <c r="P1658" s="47" t="str">
        <f>IF(AND('331-CT'!$F$5=TH!H1658,OR(N1658="331",O1658="331")),"x","")</f>
        <v/>
      </c>
      <c r="Q1658" s="47" t="str">
        <f>IF(AND(B1658='111'!$L$11,OR($N1658=$Q$7,$O1658=$Q$7)),"x","")</f>
        <v/>
      </c>
      <c r="R1658" s="47" t="str">
        <f>IF(AND($N1658=$Q$7,$B1658&lt;'111'!$L$11),"x","")</f>
        <v/>
      </c>
      <c r="S1658" s="47" t="str">
        <f>IF(AND($O1658=$Q$7,$B1658&lt;'111'!$L$11),"x","")</f>
        <v>x</v>
      </c>
    </row>
    <row r="1659" spans="1:19" ht="15.75" customHeight="1">
      <c r="A1659" s="152" t="str">
        <f>IF(B1659&lt;&gt;"",IF(AND(B1659='IN-TC'!$S$4,OR(TH!N1659="1111",TH!O1659="1111")),TH!D1659,""),"")</f>
        <v>C08</v>
      </c>
      <c r="B1659" s="34">
        <f t="shared" si="58"/>
        <v>10</v>
      </c>
      <c r="C1659" s="35">
        <f t="shared" si="59"/>
        <v>42644</v>
      </c>
      <c r="D1659" s="212" t="s">
        <v>867</v>
      </c>
      <c r="E1659" s="35">
        <v>42644</v>
      </c>
      <c r="F1659" s="144" t="s">
        <v>1386</v>
      </c>
      <c r="G1659" s="38" t="s">
        <v>203</v>
      </c>
      <c r="H1659" s="198" t="s">
        <v>1414</v>
      </c>
      <c r="I1659" s="186"/>
      <c r="J1659" s="186"/>
      <c r="K1659" s="185"/>
      <c r="L1659" s="186"/>
      <c r="M1659" s="36">
        <v>6000000</v>
      </c>
      <c r="N1659" s="37" t="s">
        <v>814</v>
      </c>
      <c r="O1659" s="37" t="s">
        <v>34</v>
      </c>
      <c r="P1659" s="47" t="str">
        <f>IF(AND('331-CT'!$F$5=TH!H1659,OR(N1659="331",O1659="331")),"x","")</f>
        <v/>
      </c>
      <c r="Q1659" s="47" t="str">
        <f>IF(AND(B1659='111'!$L$11,OR($N1659=$Q$7,$O1659=$Q$7)),"x","")</f>
        <v/>
      </c>
      <c r="R1659" s="47" t="str">
        <f>IF(AND($N1659=$Q$7,$B1659&lt;'111'!$L$11),"x","")</f>
        <v/>
      </c>
      <c r="S1659" s="47" t="str">
        <f>IF(AND($O1659=$Q$7,$B1659&lt;'111'!$L$11),"x","")</f>
        <v>x</v>
      </c>
    </row>
    <row r="1660" spans="1:19" ht="15.75" customHeight="1">
      <c r="A1660" s="152" t="str">
        <f>IF(B1660&lt;&gt;"",IF(AND(B1660='IN-TC'!$S$4,OR(TH!N1660="1111",TH!O1660="1111")),TH!D1660,""),"")</f>
        <v>C09</v>
      </c>
      <c r="B1660" s="34">
        <f t="shared" si="58"/>
        <v>10</v>
      </c>
      <c r="C1660" s="35">
        <f t="shared" si="59"/>
        <v>42644</v>
      </c>
      <c r="D1660" s="212" t="s">
        <v>868</v>
      </c>
      <c r="E1660" s="35">
        <v>42644</v>
      </c>
      <c r="F1660" s="144" t="s">
        <v>1284</v>
      </c>
      <c r="G1660" s="191"/>
      <c r="H1660" s="198"/>
      <c r="I1660" s="186"/>
      <c r="J1660" s="186"/>
      <c r="K1660" s="185"/>
      <c r="L1660" s="186"/>
      <c r="M1660" s="36">
        <v>10000000</v>
      </c>
      <c r="N1660" s="37"/>
      <c r="O1660" s="37" t="s">
        <v>34</v>
      </c>
      <c r="P1660" s="47" t="str">
        <f>IF(AND('331-CT'!$F$5=TH!H1660,OR(N1660="331",O1660="331")),"x","")</f>
        <v/>
      </c>
      <c r="Q1660" s="47" t="str">
        <f>IF(AND(B1660='111'!$L$11,OR($N1660=$Q$7,$O1660=$Q$7)),"x","")</f>
        <v/>
      </c>
      <c r="R1660" s="47" t="str">
        <f>IF(AND($N1660=$Q$7,$B1660&lt;'111'!$L$11),"x","")</f>
        <v/>
      </c>
      <c r="S1660" s="47" t="str">
        <f>IF(AND($O1660=$Q$7,$B1660&lt;'111'!$L$11),"x","")</f>
        <v>x</v>
      </c>
    </row>
    <row r="1661" spans="1:19" ht="15.75" customHeight="1">
      <c r="A1661" s="152" t="str">
        <f>IF(B1661&lt;&gt;"",IF(AND(B1661='IN-TC'!$S$4,OR(TH!N1661="1111",TH!O1661="1111")),TH!D1661,""),"")</f>
        <v>T02</v>
      </c>
      <c r="B1661" s="34">
        <f t="shared" si="58"/>
        <v>10</v>
      </c>
      <c r="C1661" s="35">
        <f t="shared" si="59"/>
        <v>42644</v>
      </c>
      <c r="D1661" s="212" t="s">
        <v>935</v>
      </c>
      <c r="E1661" s="35">
        <v>42644</v>
      </c>
      <c r="F1661" s="144" t="s">
        <v>1285</v>
      </c>
      <c r="G1661" s="191"/>
      <c r="H1661" s="198"/>
      <c r="I1661" s="186"/>
      <c r="J1661" s="186"/>
      <c r="K1661" s="185"/>
      <c r="L1661" s="186"/>
      <c r="M1661" s="36">
        <v>5000000</v>
      </c>
      <c r="N1661" s="37" t="s">
        <v>34</v>
      </c>
      <c r="O1661" s="37"/>
      <c r="P1661" s="47" t="str">
        <f>IF(AND('331-CT'!$F$5=TH!H1661,OR(N1661="331",O1661="331")),"x","")</f>
        <v/>
      </c>
      <c r="Q1661" s="47" t="str">
        <f>IF(AND(B1661='111'!$L$11,OR($N1661=$Q$7,$O1661=$Q$7)),"x","")</f>
        <v/>
      </c>
      <c r="R1661" s="47" t="str">
        <f>IF(AND($N1661=$Q$7,$B1661&lt;'111'!$L$11),"x","")</f>
        <v>x</v>
      </c>
      <c r="S1661" s="47" t="str">
        <f>IF(AND($O1661=$Q$7,$B1661&lt;'111'!$L$11),"x","")</f>
        <v/>
      </c>
    </row>
    <row r="1662" spans="1:19" ht="15.75" customHeight="1">
      <c r="A1662" s="152" t="str">
        <f>IF(B1662&lt;&gt;"",IF(AND(B1662='IN-TC'!$S$4,OR(TH!N1662="1111",TH!O1662="1111")),TH!D1662,""),"")</f>
        <v>C10</v>
      </c>
      <c r="B1662" s="34">
        <f t="shared" si="58"/>
        <v>10</v>
      </c>
      <c r="C1662" s="35">
        <f t="shared" si="59"/>
        <v>42644</v>
      </c>
      <c r="D1662" s="212" t="s">
        <v>869</v>
      </c>
      <c r="E1662" s="35">
        <v>42644</v>
      </c>
      <c r="F1662" s="144" t="s">
        <v>1286</v>
      </c>
      <c r="G1662" s="191"/>
      <c r="H1662" s="198"/>
      <c r="I1662" s="186"/>
      <c r="J1662" s="186"/>
      <c r="K1662" s="185"/>
      <c r="L1662" s="186"/>
      <c r="M1662" s="36">
        <v>6179000</v>
      </c>
      <c r="N1662" s="37"/>
      <c r="O1662" s="37" t="s">
        <v>34</v>
      </c>
      <c r="P1662" s="47" t="str">
        <f>IF(AND('331-CT'!$F$5=TH!H1662,OR(N1662="331",O1662="331")),"x","")</f>
        <v/>
      </c>
      <c r="Q1662" s="47" t="str">
        <f>IF(AND(B1662='111'!$L$11,OR($N1662=$Q$7,$O1662=$Q$7)),"x","")</f>
        <v/>
      </c>
      <c r="R1662" s="47" t="str">
        <f>IF(AND($N1662=$Q$7,$B1662&lt;'111'!$L$11),"x","")</f>
        <v/>
      </c>
      <c r="S1662" s="47" t="str">
        <f>IF(AND($O1662=$Q$7,$B1662&lt;'111'!$L$11),"x","")</f>
        <v>x</v>
      </c>
    </row>
    <row r="1663" spans="1:19" ht="15.75" customHeight="1">
      <c r="A1663" s="152" t="str">
        <f>IF(B1663&lt;&gt;"",IF(AND(B1663='IN-TC'!$S$4,OR(TH!N1663="1111",TH!O1663="1111")),TH!D1663,""),"")</f>
        <v>C11</v>
      </c>
      <c r="B1663" s="34">
        <f t="shared" si="58"/>
        <v>10</v>
      </c>
      <c r="C1663" s="35">
        <f t="shared" si="59"/>
        <v>42644</v>
      </c>
      <c r="D1663" s="212" t="s">
        <v>870</v>
      </c>
      <c r="E1663" s="35">
        <v>42644</v>
      </c>
      <c r="F1663" s="144" t="s">
        <v>1287</v>
      </c>
      <c r="G1663" s="191"/>
      <c r="H1663" s="198"/>
      <c r="I1663" s="186"/>
      <c r="J1663" s="186"/>
      <c r="K1663" s="185"/>
      <c r="L1663" s="186"/>
      <c r="M1663" s="36">
        <v>270000</v>
      </c>
      <c r="N1663" s="37"/>
      <c r="O1663" s="37" t="s">
        <v>34</v>
      </c>
      <c r="P1663" s="47" t="str">
        <f>IF(AND('331-CT'!$F$5=TH!H1663,OR(N1663="331",O1663="331")),"x","")</f>
        <v/>
      </c>
      <c r="Q1663" s="47" t="str">
        <f>IF(AND(B1663='111'!$L$11,OR($N1663=$Q$7,$O1663=$Q$7)),"x","")</f>
        <v/>
      </c>
      <c r="R1663" s="47" t="str">
        <f>IF(AND($N1663=$Q$7,$B1663&lt;'111'!$L$11),"x","")</f>
        <v/>
      </c>
      <c r="S1663" s="47" t="str">
        <f>IF(AND($O1663=$Q$7,$B1663&lt;'111'!$L$11),"x","")</f>
        <v>x</v>
      </c>
    </row>
    <row r="1664" spans="1:19" ht="15.75" customHeight="1">
      <c r="A1664" s="152" t="str">
        <f>IF(B1664&lt;&gt;"",IF(AND(B1664='IN-TC'!$S$4,OR(TH!N1664="1111",TH!O1664="1111")),TH!D1664,""),"")</f>
        <v>C12</v>
      </c>
      <c r="B1664" s="34">
        <f t="shared" si="58"/>
        <v>10</v>
      </c>
      <c r="C1664" s="35">
        <f t="shared" si="59"/>
        <v>42644</v>
      </c>
      <c r="D1664" s="212" t="s">
        <v>871</v>
      </c>
      <c r="E1664" s="35">
        <v>42644</v>
      </c>
      <c r="F1664" s="144" t="s">
        <v>602</v>
      </c>
      <c r="G1664" s="191" t="s">
        <v>206</v>
      </c>
      <c r="H1664" s="198" t="s">
        <v>831</v>
      </c>
      <c r="I1664" s="186"/>
      <c r="J1664" s="186"/>
      <c r="K1664" s="185"/>
      <c r="L1664" s="186"/>
      <c r="M1664" s="36">
        <v>100000000</v>
      </c>
      <c r="N1664" s="37" t="s">
        <v>8</v>
      </c>
      <c r="O1664" s="37" t="s">
        <v>34</v>
      </c>
      <c r="P1664" s="47" t="str">
        <f>IF(AND('331-CT'!$F$5=TH!H1664,OR(N1664="331",O1664="331")),"x","")</f>
        <v/>
      </c>
      <c r="Q1664" s="47" t="str">
        <f>IF(AND(B1664='111'!$L$11,OR($N1664=$Q$7,$O1664=$Q$7)),"x","")</f>
        <v/>
      </c>
      <c r="R1664" s="47" t="str">
        <f>IF(AND($N1664=$Q$7,$B1664&lt;'111'!$L$11),"x","")</f>
        <v/>
      </c>
      <c r="S1664" s="47" t="str">
        <f>IF(AND($O1664=$Q$7,$B1664&lt;'111'!$L$11),"x","")</f>
        <v>x</v>
      </c>
    </row>
    <row r="1665" spans="1:19" ht="15.75" customHeight="1">
      <c r="A1665" s="152" t="str">
        <f>IF(B1665&lt;&gt;"",IF(AND(B1665='IN-TC'!$S$4,OR(TH!N1665="1111",TH!O1665="1111")),TH!D1665,""),"")</f>
        <v>C13</v>
      </c>
      <c r="B1665" s="34">
        <f t="shared" si="58"/>
        <v>10</v>
      </c>
      <c r="C1665" s="35">
        <f t="shared" si="59"/>
        <v>42644</v>
      </c>
      <c r="D1665" s="212" t="s">
        <v>872</v>
      </c>
      <c r="E1665" s="35">
        <v>42644</v>
      </c>
      <c r="F1665" s="144" t="s">
        <v>468</v>
      </c>
      <c r="G1665" s="191"/>
      <c r="H1665" s="198"/>
      <c r="I1665" s="186"/>
      <c r="J1665" s="186"/>
      <c r="K1665" s="185"/>
      <c r="L1665" s="186"/>
      <c r="M1665" s="36">
        <v>10000000</v>
      </c>
      <c r="N1665" s="37"/>
      <c r="O1665" s="37" t="s">
        <v>34</v>
      </c>
      <c r="P1665" s="47" t="str">
        <f>IF(AND('331-CT'!$F$5=TH!H1665,OR(N1665="331",O1665="331")),"x","")</f>
        <v/>
      </c>
      <c r="Q1665" s="47" t="str">
        <f>IF(AND(B1665='111'!$L$11,OR($N1665=$Q$7,$O1665=$Q$7)),"x","")</f>
        <v/>
      </c>
      <c r="R1665" s="47" t="str">
        <f>IF(AND($N1665=$Q$7,$B1665&lt;'111'!$L$11),"x","")</f>
        <v/>
      </c>
      <c r="S1665" s="47" t="str">
        <f>IF(AND($O1665=$Q$7,$B1665&lt;'111'!$L$11),"x","")</f>
        <v>x</v>
      </c>
    </row>
    <row r="1666" spans="1:19" ht="15.75" customHeight="1">
      <c r="A1666" s="152" t="str">
        <f>IF(B1666&lt;&gt;"",IF(AND(B1666='IN-TC'!$S$4,OR(TH!N1666="1111",TH!O1666="1111")),TH!D1666,""),"")</f>
        <v>C14</v>
      </c>
      <c r="B1666" s="34">
        <f t="shared" si="58"/>
        <v>10</v>
      </c>
      <c r="C1666" s="35">
        <f t="shared" si="59"/>
        <v>42644</v>
      </c>
      <c r="D1666" s="212" t="s">
        <v>873</v>
      </c>
      <c r="E1666" s="35">
        <v>42644</v>
      </c>
      <c r="F1666" s="144" t="s">
        <v>288</v>
      </c>
      <c r="G1666" s="191"/>
      <c r="H1666" s="198"/>
      <c r="I1666" s="186"/>
      <c r="J1666" s="186"/>
      <c r="K1666" s="185"/>
      <c r="L1666" s="186"/>
      <c r="M1666" s="36">
        <v>10000000</v>
      </c>
      <c r="N1666" s="37"/>
      <c r="O1666" s="37" t="s">
        <v>34</v>
      </c>
      <c r="P1666" s="47" t="str">
        <f>IF(AND('331-CT'!$F$5=TH!H1666,OR(N1666="331",O1666="331")),"x","")</f>
        <v/>
      </c>
      <c r="Q1666" s="47" t="str">
        <f>IF(AND(B1666='111'!$L$11,OR($N1666=$Q$7,$O1666=$Q$7)),"x","")</f>
        <v/>
      </c>
      <c r="R1666" s="47" t="str">
        <f>IF(AND($N1666=$Q$7,$B1666&lt;'111'!$L$11),"x","")</f>
        <v/>
      </c>
      <c r="S1666" s="47" t="str">
        <f>IF(AND($O1666=$Q$7,$B1666&lt;'111'!$L$11),"x","")</f>
        <v>x</v>
      </c>
    </row>
    <row r="1667" spans="1:19" ht="15.75" customHeight="1">
      <c r="A1667" s="152" t="str">
        <f>IF(B1667&lt;&gt;"",IF(AND(B1667='IN-TC'!$S$4,OR(TH!N1667="1111",TH!O1667="1111")),TH!D1667,""),"")</f>
        <v/>
      </c>
      <c r="B1667" s="34">
        <f t="shared" si="58"/>
        <v>10</v>
      </c>
      <c r="C1667" s="35">
        <f t="shared" si="59"/>
        <v>42644</v>
      </c>
      <c r="D1667" s="212"/>
      <c r="E1667" s="35">
        <v>42644</v>
      </c>
      <c r="F1667" s="144" t="s">
        <v>1451</v>
      </c>
      <c r="G1667" s="191"/>
      <c r="H1667" s="198" t="s">
        <v>840</v>
      </c>
      <c r="I1667" s="186">
        <v>3150</v>
      </c>
      <c r="J1667" s="186">
        <v>14000</v>
      </c>
      <c r="K1667" s="185"/>
      <c r="L1667" s="186"/>
      <c r="M1667" s="36">
        <f>ROUND(I1667*J1667,0)</f>
        <v>44100000</v>
      </c>
      <c r="N1667" s="37" t="s">
        <v>1443</v>
      </c>
      <c r="O1667" s="37" t="s">
        <v>8</v>
      </c>
      <c r="P1667" s="47" t="str">
        <f>IF(AND('331-CT'!$F$5=TH!H1667,OR(N1667="331",O1667="331")),"x","")</f>
        <v/>
      </c>
      <c r="Q1667" s="47" t="str">
        <f>IF(AND(B1667='111'!$L$11,OR($N1667=$Q$7,$O1667=$Q$7)),"x","")</f>
        <v/>
      </c>
      <c r="R1667" s="47" t="str">
        <f>IF(AND($N1667=$Q$7,$B1667&lt;'111'!$L$11),"x","")</f>
        <v/>
      </c>
      <c r="S1667" s="47" t="str">
        <f>IF(AND($O1667=$Q$7,$B1667&lt;'111'!$L$11),"x","")</f>
        <v/>
      </c>
    </row>
    <row r="1668" spans="1:19" ht="15.75" customHeight="1">
      <c r="A1668" s="152" t="str">
        <f>IF(B1668&lt;&gt;"",IF(AND(B1668='IN-TC'!$S$4,OR(TH!N1668="1111",TH!O1668="1111")),TH!D1668,""),"")</f>
        <v/>
      </c>
      <c r="B1668" s="34">
        <f t="shared" si="58"/>
        <v>10</v>
      </c>
      <c r="C1668" s="35">
        <f t="shared" si="59"/>
        <v>42644</v>
      </c>
      <c r="D1668" s="212"/>
      <c r="E1668" s="35">
        <v>42644</v>
      </c>
      <c r="F1668" s="144" t="s">
        <v>1466</v>
      </c>
      <c r="G1668" s="191" t="s">
        <v>204</v>
      </c>
      <c r="H1668" s="198" t="s">
        <v>832</v>
      </c>
      <c r="I1668" s="186">
        <v>509</v>
      </c>
      <c r="J1668" s="186">
        <v>16000</v>
      </c>
      <c r="K1668" s="185"/>
      <c r="L1668" s="186"/>
      <c r="M1668" s="36">
        <f>ROUND(I1668*J1668,0)</f>
        <v>8144000</v>
      </c>
      <c r="N1668" s="37" t="s">
        <v>1443</v>
      </c>
      <c r="O1668" s="37" t="s">
        <v>8</v>
      </c>
      <c r="P1668" s="47" t="str">
        <f>IF(AND('331-CT'!$F$5=TH!H1668,OR(N1668="331",O1668="331")),"x","")</f>
        <v/>
      </c>
      <c r="Q1668" s="47" t="str">
        <f>IF(AND(B1668='111'!$L$11,OR($N1668=$Q$7,$O1668=$Q$7)),"x","")</f>
        <v/>
      </c>
      <c r="R1668" s="47" t="str">
        <f>IF(AND($N1668=$Q$7,$B1668&lt;'111'!$L$11),"x","")</f>
        <v/>
      </c>
      <c r="S1668" s="47" t="str">
        <f>IF(AND($O1668=$Q$7,$B1668&lt;'111'!$L$11),"x","")</f>
        <v/>
      </c>
    </row>
    <row r="1669" spans="1:19" ht="15.75" customHeight="1">
      <c r="A1669" s="152" t="str">
        <f>IF(B1669&lt;&gt;"",IF(AND(B1669='IN-TC'!$S$4,OR(TH!N1669="1111",TH!O1669="1111")),TH!D1669,""),"")</f>
        <v/>
      </c>
      <c r="B1669" s="34">
        <f t="shared" si="58"/>
        <v>10</v>
      </c>
      <c r="C1669" s="35">
        <f t="shared" si="59"/>
        <v>42644</v>
      </c>
      <c r="D1669" s="212"/>
      <c r="E1669" s="35">
        <v>42644</v>
      </c>
      <c r="F1669" s="144" t="s">
        <v>1451</v>
      </c>
      <c r="G1669" s="191"/>
      <c r="H1669" s="198" t="s">
        <v>1421</v>
      </c>
      <c r="I1669" s="186">
        <v>2645</v>
      </c>
      <c r="J1669" s="186">
        <v>14500</v>
      </c>
      <c r="K1669" s="185"/>
      <c r="L1669" s="186"/>
      <c r="M1669" s="36">
        <f>ROUND(I1669*J1669,-3)</f>
        <v>38353000</v>
      </c>
      <c r="N1669" s="37" t="s">
        <v>1443</v>
      </c>
      <c r="O1669" s="37" t="s">
        <v>8</v>
      </c>
      <c r="P1669" s="47" t="str">
        <f>IF(AND('331-CT'!$F$5=TH!H1669,OR(N1669="331",O1669="331")),"x","")</f>
        <v/>
      </c>
      <c r="Q1669" s="47" t="str">
        <f>IF(AND(B1669='111'!$L$11,OR($N1669=$Q$7,$O1669=$Q$7)),"x","")</f>
        <v/>
      </c>
      <c r="R1669" s="47" t="str">
        <f>IF(AND($N1669=$Q$7,$B1669&lt;'111'!$L$11),"x","")</f>
        <v/>
      </c>
      <c r="S1669" s="47" t="str">
        <f>IF(AND($O1669=$Q$7,$B1669&lt;'111'!$L$11),"x","")</f>
        <v/>
      </c>
    </row>
    <row r="1670" spans="1:19" ht="15.75" customHeight="1">
      <c r="A1670" s="152" t="str">
        <f>IF(B1670&lt;&gt;"",IF(AND(B1670='IN-TC'!$S$4,OR(TH!N1670="1111",TH!O1670="1111")),TH!D1670,""),"")</f>
        <v/>
      </c>
      <c r="B1670" s="34">
        <f t="shared" si="58"/>
        <v>10</v>
      </c>
      <c r="C1670" s="35">
        <f t="shared" si="59"/>
        <v>42644</v>
      </c>
      <c r="D1670" s="212"/>
      <c r="E1670" s="35">
        <v>42644</v>
      </c>
      <c r="F1670" s="144" t="s">
        <v>1451</v>
      </c>
      <c r="G1670" s="191"/>
      <c r="H1670" s="198" t="s">
        <v>1421</v>
      </c>
      <c r="I1670" s="186">
        <v>2415</v>
      </c>
      <c r="J1670" s="186">
        <v>14500</v>
      </c>
      <c r="K1670" s="185"/>
      <c r="L1670" s="186"/>
      <c r="M1670" s="36">
        <f>ROUND(I1670*J1670,-3)</f>
        <v>35018000</v>
      </c>
      <c r="N1670" s="37" t="s">
        <v>1443</v>
      </c>
      <c r="O1670" s="37" t="s">
        <v>8</v>
      </c>
      <c r="P1670" s="47" t="str">
        <f>IF(AND('331-CT'!$F$5=TH!H1670,OR(N1670="331",O1670="331")),"x","")</f>
        <v/>
      </c>
      <c r="Q1670" s="47" t="str">
        <f>IF(AND(B1670='111'!$L$11,OR($N1670=$Q$7,$O1670=$Q$7)),"x","")</f>
        <v/>
      </c>
      <c r="R1670" s="47" t="str">
        <f>IF(AND($N1670=$Q$7,$B1670&lt;'111'!$L$11),"x","")</f>
        <v/>
      </c>
      <c r="S1670" s="47" t="str">
        <f>IF(AND($O1670=$Q$7,$B1670&lt;'111'!$L$11),"x","")</f>
        <v/>
      </c>
    </row>
    <row r="1671" spans="1:19" ht="15.75" customHeight="1">
      <c r="A1671" s="152" t="str">
        <f>IF(B1671&lt;&gt;"",IF(AND(B1671='IN-TC'!$S$4,OR(TH!N1671="1111",TH!O1671="1111")),TH!D1671,""),"")</f>
        <v/>
      </c>
      <c r="B1671" s="34">
        <f t="shared" si="58"/>
        <v>10</v>
      </c>
      <c r="C1671" s="35">
        <f t="shared" si="59"/>
        <v>42645</v>
      </c>
      <c r="D1671" s="212"/>
      <c r="E1671" s="35">
        <v>42645</v>
      </c>
      <c r="F1671" s="144" t="s">
        <v>1466</v>
      </c>
      <c r="G1671" s="191" t="s">
        <v>204</v>
      </c>
      <c r="H1671" s="198" t="s">
        <v>832</v>
      </c>
      <c r="I1671" s="186">
        <v>2136</v>
      </c>
      <c r="J1671" s="186">
        <v>16000</v>
      </c>
      <c r="K1671" s="185"/>
      <c r="L1671" s="186"/>
      <c r="M1671" s="36">
        <f>ROUND(I1671*J1671,0)</f>
        <v>34176000</v>
      </c>
      <c r="N1671" s="37" t="s">
        <v>1443</v>
      </c>
      <c r="O1671" s="37" t="s">
        <v>8</v>
      </c>
      <c r="P1671" s="47" t="str">
        <f>IF(AND('331-CT'!$F$5=TH!H1671,OR(N1671="331",O1671="331")),"x","")</f>
        <v/>
      </c>
      <c r="Q1671" s="47" t="str">
        <f>IF(AND(B1671='111'!$L$11,OR($N1671=$Q$7,$O1671=$Q$7)),"x","")</f>
        <v/>
      </c>
      <c r="R1671" s="47" t="str">
        <f>IF(AND($N1671=$Q$7,$B1671&lt;'111'!$L$11),"x","")</f>
        <v/>
      </c>
      <c r="S1671" s="47" t="str">
        <f>IF(AND($O1671=$Q$7,$B1671&lt;'111'!$L$11),"x","")</f>
        <v/>
      </c>
    </row>
    <row r="1672" spans="1:19" ht="15.75" customHeight="1">
      <c r="A1672" s="152" t="str">
        <f>IF(B1672&lt;&gt;"",IF(AND(B1672='IN-TC'!$S$4,OR(TH!N1672="1111",TH!O1672="1111")),TH!D1672,""),"")</f>
        <v/>
      </c>
      <c r="B1672" s="34">
        <f t="shared" si="58"/>
        <v>10</v>
      </c>
      <c r="C1672" s="35">
        <f t="shared" si="59"/>
        <v>42645</v>
      </c>
      <c r="D1672" s="212"/>
      <c r="E1672" s="35">
        <v>42645</v>
      </c>
      <c r="F1672" s="144" t="s">
        <v>1451</v>
      </c>
      <c r="G1672" s="191"/>
      <c r="H1672" s="198" t="s">
        <v>1421</v>
      </c>
      <c r="I1672" s="186">
        <v>1821</v>
      </c>
      <c r="J1672" s="186">
        <v>14500</v>
      </c>
      <c r="K1672" s="185"/>
      <c r="L1672" s="186"/>
      <c r="M1672" s="36">
        <f>ROUND(I1672*J1672,-3)</f>
        <v>26405000</v>
      </c>
      <c r="N1672" s="37" t="s">
        <v>1443</v>
      </c>
      <c r="O1672" s="37" t="s">
        <v>8</v>
      </c>
      <c r="P1672" s="47" t="str">
        <f>IF(AND('331-CT'!$F$5=TH!H1672,OR(N1672="331",O1672="331")),"x","")</f>
        <v/>
      </c>
      <c r="Q1672" s="47" t="str">
        <f>IF(AND(B1672='111'!$L$11,OR($N1672=$Q$7,$O1672=$Q$7)),"x","")</f>
        <v/>
      </c>
      <c r="R1672" s="47" t="str">
        <f>IF(AND($N1672=$Q$7,$B1672&lt;'111'!$L$11),"x","")</f>
        <v/>
      </c>
      <c r="S1672" s="47" t="str">
        <f>IF(AND($O1672=$Q$7,$B1672&lt;'111'!$L$11),"x","")</f>
        <v/>
      </c>
    </row>
    <row r="1673" spans="1:19" ht="15.75" customHeight="1">
      <c r="A1673" s="152" t="str">
        <f>IF(B1673&lt;&gt;"",IF(AND(B1673='IN-TC'!$S$4,OR(TH!N1673="1111",TH!O1673="1111")),TH!D1673,""),"")</f>
        <v/>
      </c>
      <c r="B1673" s="34">
        <f t="shared" si="58"/>
        <v>10</v>
      </c>
      <c r="C1673" s="35">
        <f t="shared" si="59"/>
        <v>42646</v>
      </c>
      <c r="D1673" s="212"/>
      <c r="E1673" s="35">
        <v>42646</v>
      </c>
      <c r="F1673" s="144" t="s">
        <v>1466</v>
      </c>
      <c r="G1673" s="191" t="s">
        <v>204</v>
      </c>
      <c r="H1673" s="198" t="s">
        <v>832</v>
      </c>
      <c r="I1673" s="186">
        <v>755</v>
      </c>
      <c r="J1673" s="186">
        <v>16000</v>
      </c>
      <c r="K1673" s="185"/>
      <c r="L1673" s="186"/>
      <c r="M1673" s="36">
        <f>ROUND(I1673*J1673,0)</f>
        <v>12080000</v>
      </c>
      <c r="N1673" s="37" t="s">
        <v>1443</v>
      </c>
      <c r="O1673" s="37" t="s">
        <v>8</v>
      </c>
      <c r="P1673" s="47" t="str">
        <f>IF(AND('331-CT'!$F$5=TH!H1673,OR(N1673="331",O1673="331")),"x","")</f>
        <v/>
      </c>
      <c r="Q1673" s="47" t="str">
        <f>IF(AND(B1673='111'!$L$11,OR($N1673=$Q$7,$O1673=$Q$7)),"x","")</f>
        <v/>
      </c>
      <c r="R1673" s="47" t="str">
        <f>IF(AND($N1673=$Q$7,$B1673&lt;'111'!$L$11),"x","")</f>
        <v/>
      </c>
      <c r="S1673" s="47" t="str">
        <f>IF(AND($O1673=$Q$7,$B1673&lt;'111'!$L$11),"x","")</f>
        <v/>
      </c>
    </row>
    <row r="1674" spans="1:19" ht="15.75" customHeight="1">
      <c r="A1674" s="152" t="str">
        <f>IF(B1674&lt;&gt;"",IF(AND(B1674='IN-TC'!$S$4,OR(TH!N1674="1111",TH!O1674="1111")),TH!D1674,""),"")</f>
        <v/>
      </c>
      <c r="B1674" s="34">
        <f t="shared" si="58"/>
        <v>10</v>
      </c>
      <c r="C1674" s="35">
        <f t="shared" si="59"/>
        <v>42646</v>
      </c>
      <c r="D1674" s="212"/>
      <c r="E1674" s="35">
        <v>42646</v>
      </c>
      <c r="F1674" s="144" t="s">
        <v>1451</v>
      </c>
      <c r="G1674" s="191"/>
      <c r="H1674" s="198" t="s">
        <v>1421</v>
      </c>
      <c r="I1674" s="186">
        <v>3680</v>
      </c>
      <c r="J1674" s="186">
        <v>14000</v>
      </c>
      <c r="K1674" s="185"/>
      <c r="L1674" s="186"/>
      <c r="M1674" s="36">
        <f>ROUND(I1674*J1674,-3)</f>
        <v>51520000</v>
      </c>
      <c r="N1674" s="37" t="s">
        <v>1443</v>
      </c>
      <c r="O1674" s="37" t="s">
        <v>8</v>
      </c>
      <c r="P1674" s="47" t="str">
        <f>IF(AND('331-CT'!$F$5=TH!H1674,OR(N1674="331",O1674="331")),"x","")</f>
        <v/>
      </c>
      <c r="Q1674" s="47" t="str">
        <f>IF(AND(B1674='111'!$L$11,OR($N1674=$Q$7,$O1674=$Q$7)),"x","")</f>
        <v/>
      </c>
      <c r="R1674" s="47" t="str">
        <f>IF(AND($N1674=$Q$7,$B1674&lt;'111'!$L$11),"x","")</f>
        <v/>
      </c>
      <c r="S1674" s="47" t="str">
        <f>IF(AND($O1674=$Q$7,$B1674&lt;'111'!$L$11),"x","")</f>
        <v/>
      </c>
    </row>
    <row r="1675" spans="1:19" ht="15.75" customHeight="1">
      <c r="A1675" s="152" t="str">
        <f>IF(B1675&lt;&gt;"",IF(AND(B1675='IN-TC'!$S$4,OR(TH!N1675="1111",TH!O1675="1111")),TH!D1675,""),"")</f>
        <v/>
      </c>
      <c r="B1675" s="34">
        <f t="shared" si="58"/>
        <v>10</v>
      </c>
      <c r="C1675" s="35">
        <f t="shared" si="59"/>
        <v>42646</v>
      </c>
      <c r="D1675" s="212"/>
      <c r="E1675" s="35">
        <v>42646</v>
      </c>
      <c r="F1675" s="144" t="s">
        <v>1451</v>
      </c>
      <c r="G1675" s="191"/>
      <c r="H1675" s="198" t="s">
        <v>1421</v>
      </c>
      <c r="I1675" s="186">
        <v>2645</v>
      </c>
      <c r="J1675" s="186">
        <v>14000</v>
      </c>
      <c r="K1675" s="185"/>
      <c r="L1675" s="186"/>
      <c r="M1675" s="36">
        <f>ROUND(I1675*J1675,-3)</f>
        <v>37030000</v>
      </c>
      <c r="N1675" s="37" t="s">
        <v>1443</v>
      </c>
      <c r="O1675" s="37" t="s">
        <v>8</v>
      </c>
      <c r="P1675" s="47" t="str">
        <f>IF(AND('331-CT'!$F$5=TH!H1675,OR(N1675="331",O1675="331")),"x","")</f>
        <v/>
      </c>
      <c r="Q1675" s="47" t="str">
        <f>IF(AND(B1675='111'!$L$11,OR($N1675=$Q$7,$O1675=$Q$7)),"x","")</f>
        <v/>
      </c>
      <c r="R1675" s="47" t="str">
        <f>IF(AND($N1675=$Q$7,$B1675&lt;'111'!$L$11),"x","")</f>
        <v/>
      </c>
      <c r="S1675" s="47" t="str">
        <f>IF(AND($O1675=$Q$7,$B1675&lt;'111'!$L$11),"x","")</f>
        <v/>
      </c>
    </row>
    <row r="1676" spans="1:19" ht="15.75" customHeight="1">
      <c r="A1676" s="152" t="str">
        <f>IF(B1676&lt;&gt;"",IF(AND(B1676='IN-TC'!$S$4,OR(TH!N1676="1111",TH!O1676="1111")),TH!D1676,""),"")</f>
        <v>C15</v>
      </c>
      <c r="B1676" s="34">
        <f t="shared" si="58"/>
        <v>10</v>
      </c>
      <c r="C1676" s="35">
        <f t="shared" si="59"/>
        <v>42647</v>
      </c>
      <c r="D1676" s="212" t="s">
        <v>874</v>
      </c>
      <c r="E1676" s="35">
        <v>42647</v>
      </c>
      <c r="F1676" s="144" t="s">
        <v>1160</v>
      </c>
      <c r="G1676" s="191"/>
      <c r="H1676" s="198"/>
      <c r="I1676" s="186"/>
      <c r="J1676" s="186"/>
      <c r="K1676" s="185"/>
      <c r="L1676" s="186"/>
      <c r="M1676" s="36">
        <v>1416000</v>
      </c>
      <c r="N1676" s="37"/>
      <c r="O1676" s="37" t="s">
        <v>34</v>
      </c>
      <c r="P1676" s="47" t="str">
        <f>IF(AND('331-CT'!$F$5=TH!H1676,OR(N1676="331",O1676="331")),"x","")</f>
        <v/>
      </c>
      <c r="Q1676" s="47" t="str">
        <f>IF(AND(B1676='111'!$L$11,OR($N1676=$Q$7,$O1676=$Q$7)),"x","")</f>
        <v/>
      </c>
      <c r="R1676" s="47" t="str">
        <f>IF(AND($N1676=$Q$7,$B1676&lt;'111'!$L$11),"x","")</f>
        <v/>
      </c>
      <c r="S1676" s="47" t="str">
        <f>IF(AND($O1676=$Q$7,$B1676&lt;'111'!$L$11),"x","")</f>
        <v>x</v>
      </c>
    </row>
    <row r="1677" spans="1:19" ht="15.75" customHeight="1">
      <c r="A1677" s="152" t="str">
        <f>IF(B1677&lt;&gt;"",IF(AND(B1677='IN-TC'!$S$4,OR(TH!N1677="1111",TH!O1677="1111")),TH!D1677,""),"")</f>
        <v>C16</v>
      </c>
      <c r="B1677" s="34">
        <f t="shared" ref="B1677:B1740" si="60">IF(C1677&lt;&gt;"",MONTH(C1677),"")</f>
        <v>10</v>
      </c>
      <c r="C1677" s="35">
        <f t="shared" ref="C1677:C1740" si="61">E1677</f>
        <v>42647</v>
      </c>
      <c r="D1677" s="212" t="s">
        <v>875</v>
      </c>
      <c r="E1677" s="35">
        <v>42647</v>
      </c>
      <c r="F1677" s="144" t="s">
        <v>1288</v>
      </c>
      <c r="G1677" s="191"/>
      <c r="H1677" s="198"/>
      <c r="I1677" s="186"/>
      <c r="J1677" s="186"/>
      <c r="K1677" s="185"/>
      <c r="L1677" s="186"/>
      <c r="M1677" s="36">
        <v>1000000</v>
      </c>
      <c r="N1677" s="37"/>
      <c r="O1677" s="37" t="s">
        <v>34</v>
      </c>
      <c r="P1677" s="47" t="str">
        <f>IF(AND('331-CT'!$F$5=TH!H1677,OR(N1677="331",O1677="331")),"x","")</f>
        <v/>
      </c>
      <c r="Q1677" s="47" t="str">
        <f>IF(AND(B1677='111'!$L$11,OR($N1677=$Q$7,$O1677=$Q$7)),"x","")</f>
        <v/>
      </c>
      <c r="R1677" s="47" t="str">
        <f>IF(AND($N1677=$Q$7,$B1677&lt;'111'!$L$11),"x","")</f>
        <v/>
      </c>
      <c r="S1677" s="47" t="str">
        <f>IF(AND($O1677=$Q$7,$B1677&lt;'111'!$L$11),"x","")</f>
        <v>x</v>
      </c>
    </row>
    <row r="1678" spans="1:19" ht="15.75" customHeight="1">
      <c r="A1678" s="152" t="str">
        <f>IF(B1678&lt;&gt;"",IF(AND(B1678='IN-TC'!$S$4,OR(TH!N1678="1111",TH!O1678="1111")),TH!D1678,""),"")</f>
        <v>C17</v>
      </c>
      <c r="B1678" s="34">
        <f t="shared" si="60"/>
        <v>10</v>
      </c>
      <c r="C1678" s="35">
        <f t="shared" si="61"/>
        <v>42647</v>
      </c>
      <c r="D1678" s="212" t="s">
        <v>876</v>
      </c>
      <c r="E1678" s="35">
        <v>42647</v>
      </c>
      <c r="F1678" s="144" t="s">
        <v>1289</v>
      </c>
      <c r="G1678" s="191"/>
      <c r="H1678" s="198"/>
      <c r="I1678" s="186"/>
      <c r="J1678" s="186"/>
      <c r="K1678" s="185"/>
      <c r="L1678" s="186"/>
      <c r="M1678" s="36">
        <v>91000</v>
      </c>
      <c r="N1678" s="37"/>
      <c r="O1678" s="37" t="s">
        <v>34</v>
      </c>
      <c r="P1678" s="47" t="str">
        <f>IF(AND('331-CT'!$F$5=TH!H1678,OR(N1678="331",O1678="331")),"x","")</f>
        <v/>
      </c>
      <c r="Q1678" s="47" t="str">
        <f>IF(AND(B1678='111'!$L$11,OR($N1678=$Q$7,$O1678=$Q$7)),"x","")</f>
        <v/>
      </c>
      <c r="R1678" s="47" t="str">
        <f>IF(AND($N1678=$Q$7,$B1678&lt;'111'!$L$11),"x","")</f>
        <v/>
      </c>
      <c r="S1678" s="47" t="str">
        <f>IF(AND($O1678=$Q$7,$B1678&lt;'111'!$L$11),"x","")</f>
        <v>x</v>
      </c>
    </row>
    <row r="1679" spans="1:19" ht="15.75" customHeight="1">
      <c r="A1679" s="152" t="str">
        <f>IF(B1679&lt;&gt;"",IF(AND(B1679='IN-TC'!$S$4,OR(TH!N1679="1111",TH!O1679="1111")),TH!D1679,""),"")</f>
        <v>C18</v>
      </c>
      <c r="B1679" s="34">
        <f t="shared" si="60"/>
        <v>10</v>
      </c>
      <c r="C1679" s="35">
        <f t="shared" si="61"/>
        <v>42647</v>
      </c>
      <c r="D1679" s="212" t="s">
        <v>877</v>
      </c>
      <c r="E1679" s="35">
        <v>42647</v>
      </c>
      <c r="F1679" s="144" t="s">
        <v>1290</v>
      </c>
      <c r="G1679" s="191" t="s">
        <v>110</v>
      </c>
      <c r="H1679" s="198"/>
      <c r="I1679" s="186"/>
      <c r="J1679" s="186"/>
      <c r="K1679" s="185"/>
      <c r="L1679" s="186"/>
      <c r="M1679" s="36">
        <v>6000000</v>
      </c>
      <c r="N1679" s="37"/>
      <c r="O1679" s="37" t="s">
        <v>34</v>
      </c>
      <c r="P1679" s="47" t="str">
        <f>IF(AND('331-CT'!$F$5=TH!H1679,OR(N1679="331",O1679="331")),"x","")</f>
        <v/>
      </c>
      <c r="Q1679" s="47" t="str">
        <f>IF(AND(B1679='111'!$L$11,OR($N1679=$Q$7,$O1679=$Q$7)),"x","")</f>
        <v/>
      </c>
      <c r="R1679" s="47" t="str">
        <f>IF(AND($N1679=$Q$7,$B1679&lt;'111'!$L$11),"x","")</f>
        <v/>
      </c>
      <c r="S1679" s="47" t="str">
        <f>IF(AND($O1679=$Q$7,$B1679&lt;'111'!$L$11),"x","")</f>
        <v>x</v>
      </c>
    </row>
    <row r="1680" spans="1:19" ht="15.75" customHeight="1">
      <c r="A1680" s="152" t="str">
        <f>IF(B1680&lt;&gt;"",IF(AND(B1680='IN-TC'!$S$4,OR(TH!N1680="1111",TH!O1680="1111")),TH!D1680,""),"")</f>
        <v>C19</v>
      </c>
      <c r="B1680" s="34">
        <f t="shared" si="60"/>
        <v>10</v>
      </c>
      <c r="C1680" s="35">
        <f t="shared" si="61"/>
        <v>42647</v>
      </c>
      <c r="D1680" s="212" t="s">
        <v>878</v>
      </c>
      <c r="E1680" s="35">
        <v>42647</v>
      </c>
      <c r="F1680" s="144" t="s">
        <v>1291</v>
      </c>
      <c r="G1680" s="191"/>
      <c r="H1680" s="198"/>
      <c r="I1680" s="186"/>
      <c r="J1680" s="186"/>
      <c r="K1680" s="185"/>
      <c r="L1680" s="186"/>
      <c r="M1680" s="36">
        <v>765000</v>
      </c>
      <c r="N1680" s="37"/>
      <c r="O1680" s="37" t="s">
        <v>34</v>
      </c>
      <c r="P1680" s="47" t="str">
        <f>IF(AND('331-CT'!$F$5=TH!H1680,OR(N1680="331",O1680="331")),"x","")</f>
        <v/>
      </c>
      <c r="Q1680" s="47" t="str">
        <f>IF(AND(B1680='111'!$L$11,OR($N1680=$Q$7,$O1680=$Q$7)),"x","")</f>
        <v/>
      </c>
      <c r="R1680" s="47" t="str">
        <f>IF(AND($N1680=$Q$7,$B1680&lt;'111'!$L$11),"x","")</f>
        <v/>
      </c>
      <c r="S1680" s="47" t="str">
        <f>IF(AND($O1680=$Q$7,$B1680&lt;'111'!$L$11),"x","")</f>
        <v>x</v>
      </c>
    </row>
    <row r="1681" spans="1:19" ht="15.75" customHeight="1">
      <c r="A1681" s="152" t="str">
        <f>IF(B1681&lt;&gt;"",IF(AND(B1681='IN-TC'!$S$4,OR(TH!N1681="1111",TH!O1681="1111")),TH!D1681,""),"")</f>
        <v>T03</v>
      </c>
      <c r="B1681" s="34">
        <f t="shared" si="60"/>
        <v>10</v>
      </c>
      <c r="C1681" s="35">
        <f t="shared" si="61"/>
        <v>42647</v>
      </c>
      <c r="D1681" s="212" t="s">
        <v>936</v>
      </c>
      <c r="E1681" s="35">
        <v>42647</v>
      </c>
      <c r="F1681" s="144" t="s">
        <v>1243</v>
      </c>
      <c r="G1681" s="191" t="s">
        <v>105</v>
      </c>
      <c r="H1681" s="198" t="s">
        <v>1434</v>
      </c>
      <c r="I1681" s="186"/>
      <c r="J1681" s="186"/>
      <c r="K1681" s="185"/>
      <c r="L1681" s="186"/>
      <c r="M1681" s="36">
        <v>24000000</v>
      </c>
      <c r="N1681" s="37" t="s">
        <v>34</v>
      </c>
      <c r="O1681" s="37" t="s">
        <v>812</v>
      </c>
      <c r="P1681" s="47" t="str">
        <f>IF(AND('331-CT'!$F$5=TH!H1681,OR(N1681="331",O1681="331")),"x","")</f>
        <v/>
      </c>
      <c r="Q1681" s="47" t="str">
        <f>IF(AND(B1681='111'!$L$11,OR($N1681=$Q$7,$O1681=$Q$7)),"x","")</f>
        <v/>
      </c>
      <c r="R1681" s="47" t="str">
        <f>IF(AND($N1681=$Q$7,$B1681&lt;'111'!$L$11),"x","")</f>
        <v>x</v>
      </c>
      <c r="S1681" s="47" t="str">
        <f>IF(AND($O1681=$Q$7,$B1681&lt;'111'!$L$11),"x","")</f>
        <v/>
      </c>
    </row>
    <row r="1682" spans="1:19" ht="15.75" customHeight="1">
      <c r="A1682" s="152" t="str">
        <f>IF(B1682&lt;&gt;"",IF(AND(B1682='IN-TC'!$S$4,OR(TH!N1682="1111",TH!O1682="1111")),TH!D1682,""),"")</f>
        <v>C20</v>
      </c>
      <c r="B1682" s="34">
        <f t="shared" si="60"/>
        <v>10</v>
      </c>
      <c r="C1682" s="35">
        <f t="shared" si="61"/>
        <v>42647</v>
      </c>
      <c r="D1682" s="212" t="s">
        <v>879</v>
      </c>
      <c r="E1682" s="35">
        <v>42647</v>
      </c>
      <c r="F1682" s="144" t="s">
        <v>1292</v>
      </c>
      <c r="G1682" s="191" t="s">
        <v>104</v>
      </c>
      <c r="H1682" s="198"/>
      <c r="I1682" s="186"/>
      <c r="J1682" s="186"/>
      <c r="K1682" s="185"/>
      <c r="L1682" s="186"/>
      <c r="M1682" s="36">
        <v>24000000</v>
      </c>
      <c r="N1682" s="37"/>
      <c r="O1682" s="37" t="s">
        <v>34</v>
      </c>
      <c r="P1682" s="47" t="str">
        <f>IF(AND('331-CT'!$F$5=TH!H1682,OR(N1682="331",O1682="331")),"x","")</f>
        <v/>
      </c>
      <c r="Q1682" s="47" t="str">
        <f>IF(AND(B1682='111'!$L$11,OR($N1682=$Q$7,$O1682=$Q$7)),"x","")</f>
        <v/>
      </c>
      <c r="R1682" s="47" t="str">
        <f>IF(AND($N1682=$Q$7,$B1682&lt;'111'!$L$11),"x","")</f>
        <v/>
      </c>
      <c r="S1682" s="47" t="str">
        <f>IF(AND($O1682=$Q$7,$B1682&lt;'111'!$L$11),"x","")</f>
        <v>x</v>
      </c>
    </row>
    <row r="1683" spans="1:19" ht="15.75" customHeight="1">
      <c r="A1683" s="152" t="str">
        <f>IF(B1683&lt;&gt;"",IF(AND(B1683='IN-TC'!$S$4,OR(TH!N1683="1111",TH!O1683="1111")),TH!D1683,""),"")</f>
        <v>C21</v>
      </c>
      <c r="B1683" s="34">
        <f t="shared" si="60"/>
        <v>10</v>
      </c>
      <c r="C1683" s="35">
        <f t="shared" si="61"/>
        <v>42647</v>
      </c>
      <c r="D1683" s="212" t="s">
        <v>880</v>
      </c>
      <c r="E1683" s="35">
        <v>42647</v>
      </c>
      <c r="F1683" s="144" t="s">
        <v>1293</v>
      </c>
      <c r="G1683" s="191" t="s">
        <v>203</v>
      </c>
      <c r="H1683" s="198" t="s">
        <v>1416</v>
      </c>
      <c r="I1683" s="186"/>
      <c r="J1683" s="186"/>
      <c r="K1683" s="185"/>
      <c r="L1683" s="186"/>
      <c r="M1683" s="36">
        <v>2011000</v>
      </c>
      <c r="N1683" s="37" t="s">
        <v>814</v>
      </c>
      <c r="O1683" s="37" t="s">
        <v>34</v>
      </c>
      <c r="P1683" s="47" t="str">
        <f>IF(AND('331-CT'!$F$5=TH!H1683,OR(N1683="331",O1683="331")),"x","")</f>
        <v/>
      </c>
      <c r="Q1683" s="47" t="str">
        <f>IF(AND(B1683='111'!$L$11,OR($N1683=$Q$7,$O1683=$Q$7)),"x","")</f>
        <v/>
      </c>
      <c r="R1683" s="47" t="str">
        <f>IF(AND($N1683=$Q$7,$B1683&lt;'111'!$L$11),"x","")</f>
        <v/>
      </c>
      <c r="S1683" s="47" t="str">
        <f>IF(AND($O1683=$Q$7,$B1683&lt;'111'!$L$11),"x","")</f>
        <v>x</v>
      </c>
    </row>
    <row r="1684" spans="1:19" ht="15.75" customHeight="1">
      <c r="A1684" s="152" t="str">
        <f>IF(B1684&lt;&gt;"",IF(AND(B1684='IN-TC'!$S$4,OR(TH!N1684="1111",TH!O1684="1111")),TH!D1684,""),"")</f>
        <v>C22</v>
      </c>
      <c r="B1684" s="34">
        <f t="shared" si="60"/>
        <v>10</v>
      </c>
      <c r="C1684" s="35">
        <f t="shared" si="61"/>
        <v>42647</v>
      </c>
      <c r="D1684" s="212" t="s">
        <v>881</v>
      </c>
      <c r="E1684" s="35">
        <v>42647</v>
      </c>
      <c r="F1684" s="144" t="s">
        <v>1294</v>
      </c>
      <c r="G1684" s="191"/>
      <c r="H1684" s="198"/>
      <c r="I1684" s="186"/>
      <c r="J1684" s="186"/>
      <c r="K1684" s="185"/>
      <c r="L1684" s="186"/>
      <c r="M1684" s="36">
        <v>1135000</v>
      </c>
      <c r="N1684" s="37"/>
      <c r="O1684" s="37" t="s">
        <v>34</v>
      </c>
      <c r="P1684" s="47" t="str">
        <f>IF(AND('331-CT'!$F$5=TH!H1684,OR(N1684="331",O1684="331")),"x","")</f>
        <v/>
      </c>
      <c r="Q1684" s="47" t="str">
        <f>IF(AND(B1684='111'!$L$11,OR($N1684=$Q$7,$O1684=$Q$7)),"x","")</f>
        <v/>
      </c>
      <c r="R1684" s="47" t="str">
        <f>IF(AND($N1684=$Q$7,$B1684&lt;'111'!$L$11),"x","")</f>
        <v/>
      </c>
      <c r="S1684" s="47" t="str">
        <f>IF(AND($O1684=$Q$7,$B1684&lt;'111'!$L$11),"x","")</f>
        <v>x</v>
      </c>
    </row>
    <row r="1685" spans="1:19" ht="15.75" customHeight="1">
      <c r="A1685" s="152" t="str">
        <f>IF(B1685&lt;&gt;"",IF(AND(B1685='IN-TC'!$S$4,OR(TH!N1685="1111",TH!O1685="1111")),TH!D1685,""),"")</f>
        <v>C23</v>
      </c>
      <c r="B1685" s="34">
        <f t="shared" si="60"/>
        <v>10</v>
      </c>
      <c r="C1685" s="35">
        <f t="shared" si="61"/>
        <v>42647</v>
      </c>
      <c r="D1685" s="212" t="s">
        <v>882</v>
      </c>
      <c r="E1685" s="35">
        <v>42647</v>
      </c>
      <c r="F1685" s="144" t="s">
        <v>1295</v>
      </c>
      <c r="G1685" s="191"/>
      <c r="H1685" s="198"/>
      <c r="I1685" s="186"/>
      <c r="J1685" s="186"/>
      <c r="K1685" s="185"/>
      <c r="L1685" s="186"/>
      <c r="M1685" s="36">
        <v>5940000</v>
      </c>
      <c r="N1685" s="37"/>
      <c r="O1685" s="37" t="s">
        <v>34</v>
      </c>
      <c r="P1685" s="47" t="str">
        <f>IF(AND('331-CT'!$F$5=TH!H1685,OR(N1685="331",O1685="331")),"x","")</f>
        <v/>
      </c>
      <c r="Q1685" s="47" t="str">
        <f>IF(AND(B1685='111'!$L$11,OR($N1685=$Q$7,$O1685=$Q$7)),"x","")</f>
        <v/>
      </c>
      <c r="R1685" s="47" t="str">
        <f>IF(AND($N1685=$Q$7,$B1685&lt;'111'!$L$11),"x","")</f>
        <v/>
      </c>
      <c r="S1685" s="47" t="str">
        <f>IF(AND($O1685=$Q$7,$B1685&lt;'111'!$L$11),"x","")</f>
        <v>x</v>
      </c>
    </row>
    <row r="1686" spans="1:19" ht="15.75" customHeight="1">
      <c r="A1686" s="152" t="str">
        <f>IF(B1686&lt;&gt;"",IF(AND(B1686='IN-TC'!$S$4,OR(TH!N1686="1111",TH!O1686="1111")),TH!D1686,""),"")</f>
        <v/>
      </c>
      <c r="B1686" s="34">
        <f t="shared" si="60"/>
        <v>10</v>
      </c>
      <c r="C1686" s="35">
        <f t="shared" si="61"/>
        <v>42647</v>
      </c>
      <c r="D1686" s="212"/>
      <c r="E1686" s="35">
        <v>42647</v>
      </c>
      <c r="F1686" s="144" t="s">
        <v>1508</v>
      </c>
      <c r="G1686" s="191" t="s">
        <v>1454</v>
      </c>
      <c r="H1686" s="198" t="s">
        <v>820</v>
      </c>
      <c r="I1686" s="186">
        <v>3600</v>
      </c>
      <c r="J1686" s="186">
        <v>52000</v>
      </c>
      <c r="K1686" s="185"/>
      <c r="L1686" s="186"/>
      <c r="M1686" s="36">
        <f>ROUND(I1686*J1686,-3)</f>
        <v>187200000</v>
      </c>
      <c r="N1686" s="37" t="s">
        <v>1443</v>
      </c>
      <c r="O1686" s="37" t="s">
        <v>8</v>
      </c>
      <c r="P1686" s="47" t="str">
        <f>IF(AND('331-CT'!$F$5=TH!H1686,OR(N1686="331",O1686="331")),"x","")</f>
        <v/>
      </c>
      <c r="Q1686" s="47" t="str">
        <f>IF(AND(B1686='111'!$L$11,OR($N1686=$Q$7,$O1686=$Q$7)),"x","")</f>
        <v/>
      </c>
      <c r="R1686" s="47" t="str">
        <f>IF(AND($N1686=$Q$7,$B1686&lt;'111'!$L$11),"x","")</f>
        <v/>
      </c>
      <c r="S1686" s="47" t="str">
        <f>IF(AND($O1686=$Q$7,$B1686&lt;'111'!$L$11),"x","")</f>
        <v/>
      </c>
    </row>
    <row r="1687" spans="1:19" ht="15.75" customHeight="1">
      <c r="A1687" s="152" t="str">
        <f>IF(B1687&lt;&gt;"",IF(AND(B1687='IN-TC'!$S$4,OR(TH!N1687="1111",TH!O1687="1111")),TH!D1687,""),"")</f>
        <v/>
      </c>
      <c r="B1687" s="34">
        <f t="shared" si="60"/>
        <v>10</v>
      </c>
      <c r="C1687" s="35">
        <f t="shared" si="61"/>
        <v>42647</v>
      </c>
      <c r="D1687" s="212"/>
      <c r="E1687" s="35">
        <v>42647</v>
      </c>
      <c r="F1687" s="144" t="s">
        <v>1451</v>
      </c>
      <c r="G1687" s="191"/>
      <c r="H1687" s="198" t="s">
        <v>1421</v>
      </c>
      <c r="I1687" s="186">
        <v>1763</v>
      </c>
      <c r="J1687" s="186">
        <v>14000</v>
      </c>
      <c r="K1687" s="185"/>
      <c r="L1687" s="186"/>
      <c r="M1687" s="36">
        <f>ROUND(I1687*J1687,-3)</f>
        <v>24682000</v>
      </c>
      <c r="N1687" s="37" t="s">
        <v>1443</v>
      </c>
      <c r="O1687" s="37" t="s">
        <v>8</v>
      </c>
      <c r="P1687" s="47" t="str">
        <f>IF(AND('331-CT'!$F$5=TH!H1687,OR(N1687="331",O1687="331")),"x","")</f>
        <v/>
      </c>
      <c r="Q1687" s="47" t="str">
        <f>IF(AND(B1687='111'!$L$11,OR($N1687=$Q$7,$O1687=$Q$7)),"x","")</f>
        <v/>
      </c>
      <c r="R1687" s="47" t="str">
        <f>IF(AND($N1687=$Q$7,$B1687&lt;'111'!$L$11),"x","")</f>
        <v/>
      </c>
      <c r="S1687" s="47" t="str">
        <f>IF(AND($O1687=$Q$7,$B1687&lt;'111'!$L$11),"x","")</f>
        <v/>
      </c>
    </row>
    <row r="1688" spans="1:19" ht="15.75" customHeight="1">
      <c r="A1688" s="152" t="str">
        <f>IF(B1688&lt;&gt;"",IF(AND(B1688='IN-TC'!$S$4,OR(TH!N1688="1111",TH!O1688="1111")),TH!D1688,""),"")</f>
        <v/>
      </c>
      <c r="B1688" s="34">
        <f t="shared" si="60"/>
        <v>10</v>
      </c>
      <c r="C1688" s="35">
        <f t="shared" si="61"/>
        <v>42648</v>
      </c>
      <c r="D1688" s="212"/>
      <c r="E1688" s="35">
        <v>42648</v>
      </c>
      <c r="F1688" s="144" t="s">
        <v>1466</v>
      </c>
      <c r="G1688" s="191" t="s">
        <v>204</v>
      </c>
      <c r="H1688" s="198" t="s">
        <v>832</v>
      </c>
      <c r="I1688" s="186">
        <v>1107</v>
      </c>
      <c r="J1688" s="186">
        <v>16000</v>
      </c>
      <c r="K1688" s="185"/>
      <c r="L1688" s="186"/>
      <c r="M1688" s="36">
        <f>ROUND(I1688*J1688,0)</f>
        <v>17712000</v>
      </c>
      <c r="N1688" s="37" t="s">
        <v>1443</v>
      </c>
      <c r="O1688" s="37" t="s">
        <v>8</v>
      </c>
      <c r="P1688" s="47" t="str">
        <f>IF(AND('331-CT'!$F$5=TH!H1688,OR(N1688="331",O1688="331")),"x","")</f>
        <v/>
      </c>
      <c r="Q1688" s="47" t="str">
        <f>IF(AND(B1688='111'!$L$11,OR($N1688=$Q$7,$O1688=$Q$7)),"x","")</f>
        <v/>
      </c>
      <c r="R1688" s="47" t="str">
        <f>IF(AND($N1688=$Q$7,$B1688&lt;'111'!$L$11),"x","")</f>
        <v/>
      </c>
      <c r="S1688" s="47" t="str">
        <f>IF(AND($O1688=$Q$7,$B1688&lt;'111'!$L$11),"x","")</f>
        <v/>
      </c>
    </row>
    <row r="1689" spans="1:19" ht="15.75" customHeight="1">
      <c r="A1689" s="152" t="str">
        <f>IF(B1689&lt;&gt;"",IF(AND(B1689='IN-TC'!$S$4,OR(TH!N1689="1111",TH!O1689="1111")),TH!D1689,""),"")</f>
        <v/>
      </c>
      <c r="B1689" s="34">
        <f t="shared" si="60"/>
        <v>10</v>
      </c>
      <c r="C1689" s="35">
        <f t="shared" si="61"/>
        <v>42648</v>
      </c>
      <c r="D1689" s="212"/>
      <c r="E1689" s="35">
        <v>42648</v>
      </c>
      <c r="F1689" s="144" t="s">
        <v>1466</v>
      </c>
      <c r="G1689" s="191" t="s">
        <v>204</v>
      </c>
      <c r="H1689" s="198" t="s">
        <v>832</v>
      </c>
      <c r="I1689" s="186">
        <v>3216</v>
      </c>
      <c r="J1689" s="186">
        <v>17000</v>
      </c>
      <c r="K1689" s="185"/>
      <c r="L1689" s="186"/>
      <c r="M1689" s="36">
        <f>ROUND(I1689*J1689,0)</f>
        <v>54672000</v>
      </c>
      <c r="N1689" s="37" t="s">
        <v>1443</v>
      </c>
      <c r="O1689" s="37" t="s">
        <v>8</v>
      </c>
      <c r="P1689" s="47" t="str">
        <f>IF(AND('331-CT'!$F$5=TH!H1689,OR(N1689="331",O1689="331")),"x","")</f>
        <v/>
      </c>
      <c r="Q1689" s="47" t="str">
        <f>IF(AND(B1689='111'!$L$11,OR($N1689=$Q$7,$O1689=$Q$7)),"x","")</f>
        <v/>
      </c>
      <c r="R1689" s="47" t="str">
        <f>IF(AND($N1689=$Q$7,$B1689&lt;'111'!$L$11),"x","")</f>
        <v/>
      </c>
      <c r="S1689" s="47" t="str">
        <f>IF(AND($O1689=$Q$7,$B1689&lt;'111'!$L$11),"x","")</f>
        <v/>
      </c>
    </row>
    <row r="1690" spans="1:19" ht="15.75" customHeight="1">
      <c r="A1690" s="152" t="str">
        <f>IF(B1690&lt;&gt;"",IF(AND(B1690='IN-TC'!$S$4,OR(TH!N1690="1111",TH!O1690="1111")),TH!D1690,""),"")</f>
        <v/>
      </c>
      <c r="B1690" s="34">
        <f t="shared" si="60"/>
        <v>10</v>
      </c>
      <c r="C1690" s="35">
        <f t="shared" si="61"/>
        <v>42648</v>
      </c>
      <c r="D1690" s="212"/>
      <c r="E1690" s="35">
        <v>42648</v>
      </c>
      <c r="F1690" s="144" t="s">
        <v>1451</v>
      </c>
      <c r="G1690" s="191"/>
      <c r="H1690" s="198" t="s">
        <v>1421</v>
      </c>
      <c r="I1690" s="186">
        <v>3105</v>
      </c>
      <c r="J1690" s="186">
        <v>14000</v>
      </c>
      <c r="K1690" s="185"/>
      <c r="L1690" s="186"/>
      <c r="M1690" s="36">
        <f>ROUND(I1690*J1690,-3)</f>
        <v>43470000</v>
      </c>
      <c r="N1690" s="37" t="s">
        <v>1443</v>
      </c>
      <c r="O1690" s="37" t="s">
        <v>8</v>
      </c>
      <c r="P1690" s="47" t="str">
        <f>IF(AND('331-CT'!$F$5=TH!H1690,OR(N1690="331",O1690="331")),"x","")</f>
        <v/>
      </c>
      <c r="Q1690" s="47" t="str">
        <f>IF(AND(B1690='111'!$L$11,OR($N1690=$Q$7,$O1690=$Q$7)),"x","")</f>
        <v/>
      </c>
      <c r="R1690" s="47" t="str">
        <f>IF(AND($N1690=$Q$7,$B1690&lt;'111'!$L$11),"x","")</f>
        <v/>
      </c>
      <c r="S1690" s="47" t="str">
        <f>IF(AND($O1690=$Q$7,$B1690&lt;'111'!$L$11),"x","")</f>
        <v/>
      </c>
    </row>
    <row r="1691" spans="1:19" ht="15.75" customHeight="1">
      <c r="A1691" s="152" t="str">
        <f>IF(B1691&lt;&gt;"",IF(AND(B1691='IN-TC'!$S$4,OR(TH!N1691="1111",TH!O1691="1111")),TH!D1691,""),"")</f>
        <v/>
      </c>
      <c r="B1691" s="34">
        <f t="shared" si="60"/>
        <v>10</v>
      </c>
      <c r="C1691" s="35">
        <f t="shared" si="61"/>
        <v>42648</v>
      </c>
      <c r="D1691" s="212"/>
      <c r="E1691" s="35">
        <v>42648</v>
      </c>
      <c r="F1691" s="144" t="s">
        <v>1451</v>
      </c>
      <c r="G1691" s="191"/>
      <c r="H1691" s="198" t="s">
        <v>1421</v>
      </c>
      <c r="I1691" s="186">
        <v>3806</v>
      </c>
      <c r="J1691" s="186">
        <v>14000</v>
      </c>
      <c r="K1691" s="185"/>
      <c r="L1691" s="186"/>
      <c r="M1691" s="36">
        <f>ROUND(I1691*J1691,-3)</f>
        <v>53284000</v>
      </c>
      <c r="N1691" s="37" t="s">
        <v>1443</v>
      </c>
      <c r="O1691" s="37" t="s">
        <v>8</v>
      </c>
      <c r="P1691" s="47" t="str">
        <f>IF(AND('331-CT'!$F$5=TH!H1691,OR(N1691="331",O1691="331")),"x","")</f>
        <v/>
      </c>
      <c r="Q1691" s="47" t="str">
        <f>IF(AND(B1691='111'!$L$11,OR($N1691=$Q$7,$O1691=$Q$7)),"x","")</f>
        <v/>
      </c>
      <c r="R1691" s="47" t="str">
        <f>IF(AND($N1691=$Q$7,$B1691&lt;'111'!$L$11),"x","")</f>
        <v/>
      </c>
      <c r="S1691" s="47" t="str">
        <f>IF(AND($O1691=$Q$7,$B1691&lt;'111'!$L$11),"x","")</f>
        <v/>
      </c>
    </row>
    <row r="1692" spans="1:19" ht="15.75" customHeight="1">
      <c r="A1692" s="152" t="str">
        <f>IF(B1692&lt;&gt;"",IF(AND(B1692='IN-TC'!$S$4,OR(TH!N1692="1111",TH!O1692="1111")),TH!D1692,""),"")</f>
        <v/>
      </c>
      <c r="B1692" s="34">
        <f t="shared" si="60"/>
        <v>10</v>
      </c>
      <c r="C1692" s="35">
        <f t="shared" si="61"/>
        <v>42648</v>
      </c>
      <c r="D1692" s="212"/>
      <c r="E1692" s="35">
        <v>42648</v>
      </c>
      <c r="F1692" s="144" t="s">
        <v>1451</v>
      </c>
      <c r="G1692" s="191"/>
      <c r="H1692" s="198" t="s">
        <v>1421</v>
      </c>
      <c r="I1692" s="186">
        <v>10550</v>
      </c>
      <c r="J1692" s="186">
        <v>14000</v>
      </c>
      <c r="K1692" s="185"/>
      <c r="L1692" s="186"/>
      <c r="M1692" s="36">
        <f>ROUND(I1692*J1692,-3)</f>
        <v>147700000</v>
      </c>
      <c r="N1692" s="37" t="s">
        <v>1443</v>
      </c>
      <c r="O1692" s="37" t="s">
        <v>8</v>
      </c>
      <c r="P1692" s="47" t="str">
        <f>IF(AND('331-CT'!$F$5=TH!H1692,OR(N1692="331",O1692="331")),"x","")</f>
        <v/>
      </c>
      <c r="Q1692" s="47" t="str">
        <f>IF(AND(B1692='111'!$L$11,OR($N1692=$Q$7,$O1692=$Q$7)),"x","")</f>
        <v/>
      </c>
      <c r="R1692" s="47" t="str">
        <f>IF(AND($N1692=$Q$7,$B1692&lt;'111'!$L$11),"x","")</f>
        <v/>
      </c>
      <c r="S1692" s="47" t="str">
        <f>IF(AND($O1692=$Q$7,$B1692&lt;'111'!$L$11),"x","")</f>
        <v/>
      </c>
    </row>
    <row r="1693" spans="1:19" ht="15.75" customHeight="1">
      <c r="A1693" s="152" t="str">
        <f>IF(B1693&lt;&gt;"",IF(AND(B1693='IN-TC'!$S$4,OR(TH!N1693="1111",TH!O1693="1111")),TH!D1693,""),"")</f>
        <v>T04</v>
      </c>
      <c r="B1693" s="34">
        <f t="shared" si="60"/>
        <v>10</v>
      </c>
      <c r="C1693" s="35">
        <f t="shared" si="61"/>
        <v>42649</v>
      </c>
      <c r="D1693" s="212" t="s">
        <v>937</v>
      </c>
      <c r="E1693" s="35">
        <v>42649</v>
      </c>
      <c r="F1693" s="144" t="s">
        <v>1296</v>
      </c>
      <c r="G1693" s="191" t="s">
        <v>105</v>
      </c>
      <c r="H1693" s="198" t="s">
        <v>1433</v>
      </c>
      <c r="I1693" s="186"/>
      <c r="J1693" s="186"/>
      <c r="K1693" s="185"/>
      <c r="L1693" s="186"/>
      <c r="M1693" s="36">
        <v>1000000000</v>
      </c>
      <c r="N1693" s="37" t="s">
        <v>34</v>
      </c>
      <c r="O1693" s="37" t="s">
        <v>812</v>
      </c>
      <c r="P1693" s="47" t="str">
        <f>IF(AND('331-CT'!$F$5=TH!H1693,OR(N1693="331",O1693="331")),"x","")</f>
        <v/>
      </c>
      <c r="Q1693" s="47" t="str">
        <f>IF(AND(B1693='111'!$L$11,OR($N1693=$Q$7,$O1693=$Q$7)),"x","")</f>
        <v/>
      </c>
      <c r="R1693" s="47" t="str">
        <f>IF(AND($N1693=$Q$7,$B1693&lt;'111'!$L$11),"x","")</f>
        <v>x</v>
      </c>
      <c r="S1693" s="47" t="str">
        <f>IF(AND($O1693=$Q$7,$B1693&lt;'111'!$L$11),"x","")</f>
        <v/>
      </c>
    </row>
    <row r="1694" spans="1:19" ht="15.75" customHeight="1">
      <c r="A1694" s="152" t="str">
        <f>IF(B1694&lt;&gt;"",IF(AND(B1694='IN-TC'!$S$4,OR(TH!N1694="1111",TH!O1694="1111")),TH!D1694,""),"")</f>
        <v>C24</v>
      </c>
      <c r="B1694" s="34">
        <f t="shared" si="60"/>
        <v>10</v>
      </c>
      <c r="C1694" s="35">
        <f t="shared" si="61"/>
        <v>42649</v>
      </c>
      <c r="D1694" s="212" t="s">
        <v>883</v>
      </c>
      <c r="E1694" s="35">
        <v>42649</v>
      </c>
      <c r="F1694" s="144" t="s">
        <v>1297</v>
      </c>
      <c r="G1694" s="191" t="s">
        <v>204</v>
      </c>
      <c r="H1694" s="198"/>
      <c r="I1694" s="186"/>
      <c r="J1694" s="186"/>
      <c r="K1694" s="185"/>
      <c r="L1694" s="186"/>
      <c r="M1694" s="36">
        <v>50000000</v>
      </c>
      <c r="N1694" s="37"/>
      <c r="O1694" s="37" t="s">
        <v>34</v>
      </c>
      <c r="P1694" s="47" t="str">
        <f>IF(AND('331-CT'!$F$5=TH!H1694,OR(N1694="331",O1694="331")),"x","")</f>
        <v/>
      </c>
      <c r="Q1694" s="47" t="str">
        <f>IF(AND(B1694='111'!$L$11,OR($N1694=$Q$7,$O1694=$Q$7)),"x","")</f>
        <v/>
      </c>
      <c r="R1694" s="47" t="str">
        <f>IF(AND($N1694=$Q$7,$B1694&lt;'111'!$L$11),"x","")</f>
        <v/>
      </c>
      <c r="S1694" s="47" t="str">
        <f>IF(AND($O1694=$Q$7,$B1694&lt;'111'!$L$11),"x","")</f>
        <v>x</v>
      </c>
    </row>
    <row r="1695" spans="1:19" ht="15.75" customHeight="1">
      <c r="A1695" s="152" t="str">
        <f>IF(B1695&lt;&gt;"",IF(AND(B1695='IN-TC'!$S$4,OR(TH!N1695="1111",TH!O1695="1111")),TH!D1695,""),"")</f>
        <v>C25</v>
      </c>
      <c r="B1695" s="34">
        <f t="shared" si="60"/>
        <v>10</v>
      </c>
      <c r="C1695" s="35">
        <f t="shared" si="61"/>
        <v>42649</v>
      </c>
      <c r="D1695" s="212" t="s">
        <v>884</v>
      </c>
      <c r="E1695" s="35">
        <v>42649</v>
      </c>
      <c r="F1695" s="144" t="s">
        <v>367</v>
      </c>
      <c r="G1695" s="191" t="s">
        <v>206</v>
      </c>
      <c r="H1695" s="198" t="s">
        <v>849</v>
      </c>
      <c r="I1695" s="186"/>
      <c r="J1695" s="186"/>
      <c r="K1695" s="185"/>
      <c r="L1695" s="186"/>
      <c r="M1695" s="36">
        <v>200000000</v>
      </c>
      <c r="N1695" s="37" t="s">
        <v>8</v>
      </c>
      <c r="O1695" s="37" t="s">
        <v>34</v>
      </c>
      <c r="P1695" s="47" t="str">
        <f>IF(AND('331-CT'!$F$5=TH!H1695,OR(N1695="331",O1695="331")),"x","")</f>
        <v/>
      </c>
      <c r="Q1695" s="47" t="str">
        <f>IF(AND(B1695='111'!$L$11,OR($N1695=$Q$7,$O1695=$Q$7)),"x","")</f>
        <v/>
      </c>
      <c r="R1695" s="47" t="str">
        <f>IF(AND($N1695=$Q$7,$B1695&lt;'111'!$L$11),"x","")</f>
        <v/>
      </c>
      <c r="S1695" s="47" t="str">
        <f>IF(AND($O1695=$Q$7,$B1695&lt;'111'!$L$11),"x","")</f>
        <v>x</v>
      </c>
    </row>
    <row r="1696" spans="1:19" ht="15.75" customHeight="1">
      <c r="A1696" s="152" t="str">
        <f>IF(B1696&lt;&gt;"",IF(AND(B1696='IN-TC'!$S$4,OR(TH!N1696="1111",TH!O1696="1111")),TH!D1696,""),"")</f>
        <v>C26</v>
      </c>
      <c r="B1696" s="34">
        <f t="shared" si="60"/>
        <v>10</v>
      </c>
      <c r="C1696" s="35">
        <f t="shared" si="61"/>
        <v>42649</v>
      </c>
      <c r="D1696" s="212" t="s">
        <v>885</v>
      </c>
      <c r="E1696" s="35">
        <v>42649</v>
      </c>
      <c r="F1696" s="144" t="s">
        <v>332</v>
      </c>
      <c r="G1696" s="191" t="s">
        <v>206</v>
      </c>
      <c r="H1696" s="198" t="s">
        <v>829</v>
      </c>
      <c r="I1696" s="186"/>
      <c r="J1696" s="186"/>
      <c r="K1696" s="185"/>
      <c r="L1696" s="186"/>
      <c r="M1696" s="36">
        <v>107568000</v>
      </c>
      <c r="N1696" s="37" t="s">
        <v>8</v>
      </c>
      <c r="O1696" s="37" t="s">
        <v>34</v>
      </c>
      <c r="P1696" s="47" t="str">
        <f>IF(AND('331-CT'!$F$5=TH!H1696,OR(N1696="331",O1696="331")),"x","")</f>
        <v/>
      </c>
      <c r="Q1696" s="47" t="str">
        <f>IF(AND(B1696='111'!$L$11,OR($N1696=$Q$7,$O1696=$Q$7)),"x","")</f>
        <v/>
      </c>
      <c r="R1696" s="47" t="str">
        <f>IF(AND($N1696=$Q$7,$B1696&lt;'111'!$L$11),"x","")</f>
        <v/>
      </c>
      <c r="S1696" s="47" t="str">
        <f>IF(AND($O1696=$Q$7,$B1696&lt;'111'!$L$11),"x","")</f>
        <v>x</v>
      </c>
    </row>
    <row r="1697" spans="1:19" ht="15.75" customHeight="1">
      <c r="A1697" s="152" t="str">
        <f>IF(B1697&lt;&gt;"",IF(AND(B1697='IN-TC'!$S$4,OR(TH!N1697="1111",TH!O1697="1111")),TH!D1697,""),"")</f>
        <v>C26</v>
      </c>
      <c r="B1697" s="34">
        <f t="shared" si="60"/>
        <v>10</v>
      </c>
      <c r="C1697" s="35">
        <f t="shared" si="61"/>
        <v>42649</v>
      </c>
      <c r="D1697" s="212" t="s">
        <v>885</v>
      </c>
      <c r="E1697" s="35">
        <v>42649</v>
      </c>
      <c r="F1697" s="144" t="s">
        <v>1424</v>
      </c>
      <c r="G1697" s="191"/>
      <c r="H1697" s="198"/>
      <c r="I1697" s="186"/>
      <c r="J1697" s="186"/>
      <c r="K1697" s="185"/>
      <c r="L1697" s="186"/>
      <c r="M1697" s="36">
        <v>32000</v>
      </c>
      <c r="N1697" s="37" t="s">
        <v>1425</v>
      </c>
      <c r="O1697" s="37" t="s">
        <v>34</v>
      </c>
      <c r="P1697" s="47" t="str">
        <f>IF(AND('331-CT'!$F$5=TH!H1697,OR(N1697="331",O1697="331")),"x","")</f>
        <v/>
      </c>
      <c r="Q1697" s="47" t="str">
        <f>IF(AND(B1697='111'!$L$11,OR($N1697=$Q$7,$O1697=$Q$7)),"x","")</f>
        <v/>
      </c>
      <c r="R1697" s="47" t="str">
        <f>IF(AND($N1697=$Q$7,$B1697&lt;'111'!$L$11),"x","")</f>
        <v/>
      </c>
      <c r="S1697" s="47" t="str">
        <f>IF(AND($O1697=$Q$7,$B1697&lt;'111'!$L$11),"x","")</f>
        <v>x</v>
      </c>
    </row>
    <row r="1698" spans="1:19" ht="15.75" customHeight="1">
      <c r="A1698" s="152" t="str">
        <f>IF(B1698&lt;&gt;"",IF(AND(B1698='IN-TC'!$S$4,OR(TH!N1698="1111",TH!O1698="1111")),TH!D1698,""),"")</f>
        <v>C27</v>
      </c>
      <c r="B1698" s="34">
        <f t="shared" si="60"/>
        <v>10</v>
      </c>
      <c r="C1698" s="35">
        <f t="shared" si="61"/>
        <v>42649</v>
      </c>
      <c r="D1698" s="212" t="s">
        <v>886</v>
      </c>
      <c r="E1698" s="35">
        <v>42649</v>
      </c>
      <c r="F1698" s="144" t="s">
        <v>1195</v>
      </c>
      <c r="G1698" s="191" t="s">
        <v>206</v>
      </c>
      <c r="H1698" s="198" t="s">
        <v>1397</v>
      </c>
      <c r="I1698" s="186"/>
      <c r="J1698" s="186"/>
      <c r="K1698" s="185"/>
      <c r="L1698" s="186"/>
      <c r="M1698" s="36">
        <v>31860000</v>
      </c>
      <c r="N1698" s="37" t="s">
        <v>8</v>
      </c>
      <c r="O1698" s="37" t="s">
        <v>34</v>
      </c>
      <c r="P1698" s="47" t="str">
        <f>IF(AND('331-CT'!$F$5=TH!H1698,OR(N1698="331",O1698="331")),"x","")</f>
        <v/>
      </c>
      <c r="Q1698" s="47" t="str">
        <f>IF(AND(B1698='111'!$L$11,OR($N1698=$Q$7,$O1698=$Q$7)),"x","")</f>
        <v/>
      </c>
      <c r="R1698" s="47" t="str">
        <f>IF(AND($N1698=$Q$7,$B1698&lt;'111'!$L$11),"x","")</f>
        <v/>
      </c>
      <c r="S1698" s="47" t="str">
        <f>IF(AND($O1698=$Q$7,$B1698&lt;'111'!$L$11),"x","")</f>
        <v>x</v>
      </c>
    </row>
    <row r="1699" spans="1:19" ht="15.75" customHeight="1">
      <c r="A1699" s="152" t="str">
        <f>IF(B1699&lt;&gt;"",IF(AND(B1699='IN-TC'!$S$4,OR(TH!N1699="1111",TH!O1699="1111")),TH!D1699,""),"")</f>
        <v>C28</v>
      </c>
      <c r="B1699" s="34">
        <f t="shared" si="60"/>
        <v>10</v>
      </c>
      <c r="C1699" s="35">
        <f t="shared" si="61"/>
        <v>42649</v>
      </c>
      <c r="D1699" s="212" t="s">
        <v>887</v>
      </c>
      <c r="E1699" s="35">
        <v>42649</v>
      </c>
      <c r="F1699" s="144" t="s">
        <v>244</v>
      </c>
      <c r="G1699" s="191" t="s">
        <v>206</v>
      </c>
      <c r="H1699" s="198" t="s">
        <v>828</v>
      </c>
      <c r="I1699" s="186"/>
      <c r="J1699" s="186"/>
      <c r="K1699" s="185"/>
      <c r="L1699" s="186"/>
      <c r="M1699" s="36">
        <v>83144000</v>
      </c>
      <c r="N1699" s="37" t="s">
        <v>8</v>
      </c>
      <c r="O1699" s="37" t="s">
        <v>34</v>
      </c>
      <c r="P1699" s="47" t="str">
        <f>IF(AND('331-CT'!$F$5=TH!H1699,OR(N1699="331",O1699="331")),"x","")</f>
        <v/>
      </c>
      <c r="Q1699" s="47" t="str">
        <f>IF(AND(B1699='111'!$L$11,OR($N1699=$Q$7,$O1699=$Q$7)),"x","")</f>
        <v/>
      </c>
      <c r="R1699" s="47" t="str">
        <f>IF(AND($N1699=$Q$7,$B1699&lt;'111'!$L$11),"x","")</f>
        <v/>
      </c>
      <c r="S1699" s="47" t="str">
        <f>IF(AND($O1699=$Q$7,$B1699&lt;'111'!$L$11),"x","")</f>
        <v>x</v>
      </c>
    </row>
    <row r="1700" spans="1:19" ht="15.75" customHeight="1">
      <c r="A1700" s="152" t="str">
        <f>IF(B1700&lt;&gt;"",IF(AND(B1700='IN-TC'!$S$4,OR(TH!N1700="1111",TH!O1700="1111")),TH!D1700,""),"")</f>
        <v>C29</v>
      </c>
      <c r="B1700" s="34">
        <f t="shared" si="60"/>
        <v>10</v>
      </c>
      <c r="C1700" s="35">
        <f t="shared" si="61"/>
        <v>42649</v>
      </c>
      <c r="D1700" s="212" t="s">
        <v>888</v>
      </c>
      <c r="E1700" s="35">
        <v>42649</v>
      </c>
      <c r="F1700" s="144" t="s">
        <v>529</v>
      </c>
      <c r="G1700" s="191" t="s">
        <v>206</v>
      </c>
      <c r="H1700" s="198" t="s">
        <v>832</v>
      </c>
      <c r="I1700" s="186"/>
      <c r="J1700" s="186"/>
      <c r="K1700" s="185"/>
      <c r="L1700" s="186"/>
      <c r="M1700" s="36">
        <v>99834000</v>
      </c>
      <c r="N1700" s="37" t="s">
        <v>8</v>
      </c>
      <c r="O1700" s="37" t="s">
        <v>34</v>
      </c>
      <c r="P1700" s="47" t="str">
        <f>IF(AND('331-CT'!$F$5=TH!H1700,OR(N1700="331",O1700="331")),"x","")</f>
        <v/>
      </c>
      <c r="Q1700" s="47" t="str">
        <f>IF(AND(B1700='111'!$L$11,OR($N1700=$Q$7,$O1700=$Q$7)),"x","")</f>
        <v/>
      </c>
      <c r="R1700" s="47" t="str">
        <f>IF(AND($N1700=$Q$7,$B1700&lt;'111'!$L$11),"x","")</f>
        <v/>
      </c>
      <c r="S1700" s="47" t="str">
        <f>IF(AND($O1700=$Q$7,$B1700&lt;'111'!$L$11),"x","")</f>
        <v>x</v>
      </c>
    </row>
    <row r="1701" spans="1:19" ht="15.75" customHeight="1">
      <c r="A1701" s="152" t="str">
        <f>IF(B1701&lt;&gt;"",IF(AND(B1701='IN-TC'!$S$4,OR(TH!N1701="1111",TH!O1701="1111")),TH!D1701,""),"")</f>
        <v>C30</v>
      </c>
      <c r="B1701" s="34">
        <f t="shared" si="60"/>
        <v>10</v>
      </c>
      <c r="C1701" s="35">
        <f t="shared" si="61"/>
        <v>42649</v>
      </c>
      <c r="D1701" s="212" t="s">
        <v>889</v>
      </c>
      <c r="E1701" s="35">
        <v>42649</v>
      </c>
      <c r="F1701" s="144" t="s">
        <v>721</v>
      </c>
      <c r="G1701" s="191" t="s">
        <v>206</v>
      </c>
      <c r="H1701" s="198" t="s">
        <v>817</v>
      </c>
      <c r="I1701" s="186"/>
      <c r="J1701" s="186"/>
      <c r="K1701" s="185"/>
      <c r="L1701" s="186"/>
      <c r="M1701" s="36">
        <v>13661000</v>
      </c>
      <c r="N1701" s="37" t="s">
        <v>8</v>
      </c>
      <c r="O1701" s="37" t="s">
        <v>34</v>
      </c>
      <c r="P1701" s="47" t="str">
        <f>IF(AND('331-CT'!$F$5=TH!H1701,OR(N1701="331",O1701="331")),"x","")</f>
        <v/>
      </c>
      <c r="Q1701" s="47" t="str">
        <f>IF(AND(B1701='111'!$L$11,OR($N1701=$Q$7,$O1701=$Q$7)),"x","")</f>
        <v/>
      </c>
      <c r="R1701" s="47" t="str">
        <f>IF(AND($N1701=$Q$7,$B1701&lt;'111'!$L$11),"x","")</f>
        <v/>
      </c>
      <c r="S1701" s="47" t="str">
        <f>IF(AND($O1701=$Q$7,$B1701&lt;'111'!$L$11),"x","")</f>
        <v>x</v>
      </c>
    </row>
    <row r="1702" spans="1:19" ht="15.75" customHeight="1">
      <c r="A1702" s="152" t="str">
        <f>IF(B1702&lt;&gt;"",IF(AND(B1702='IN-TC'!$S$4,OR(TH!N1702="1111",TH!O1702="1111")),TH!D1702,""),"")</f>
        <v>C31</v>
      </c>
      <c r="B1702" s="34">
        <f t="shared" si="60"/>
        <v>10</v>
      </c>
      <c r="C1702" s="35">
        <f t="shared" si="61"/>
        <v>42649</v>
      </c>
      <c r="D1702" s="212" t="s">
        <v>890</v>
      </c>
      <c r="E1702" s="35">
        <v>42649</v>
      </c>
      <c r="F1702" s="144" t="s">
        <v>1382</v>
      </c>
      <c r="G1702" s="38" t="s">
        <v>203</v>
      </c>
      <c r="H1702" s="198" t="s">
        <v>1067</v>
      </c>
      <c r="I1702" s="186"/>
      <c r="J1702" s="186"/>
      <c r="K1702" s="185"/>
      <c r="L1702" s="186"/>
      <c r="M1702" s="36">
        <v>10517000</v>
      </c>
      <c r="N1702" s="37" t="s">
        <v>814</v>
      </c>
      <c r="O1702" s="37" t="s">
        <v>34</v>
      </c>
      <c r="P1702" s="47" t="str">
        <f>IF(AND('331-CT'!$F$5=TH!H1702,OR(N1702="331",O1702="331")),"x","")</f>
        <v/>
      </c>
      <c r="Q1702" s="47" t="str">
        <f>IF(AND(B1702='111'!$L$11,OR($N1702=$Q$7,$O1702=$Q$7)),"x","")</f>
        <v/>
      </c>
      <c r="R1702" s="47" t="str">
        <f>IF(AND($N1702=$Q$7,$B1702&lt;'111'!$L$11),"x","")</f>
        <v/>
      </c>
      <c r="S1702" s="47" t="str">
        <f>IF(AND($O1702=$Q$7,$B1702&lt;'111'!$L$11),"x","")</f>
        <v>x</v>
      </c>
    </row>
    <row r="1703" spans="1:19" ht="15.75" customHeight="1">
      <c r="A1703" s="152" t="str">
        <f>IF(B1703&lt;&gt;"",IF(AND(B1703='IN-TC'!$S$4,OR(TH!N1703="1111",TH!O1703="1111")),TH!D1703,""),"")</f>
        <v>C32</v>
      </c>
      <c r="B1703" s="34">
        <f t="shared" si="60"/>
        <v>10</v>
      </c>
      <c r="C1703" s="35">
        <f t="shared" si="61"/>
        <v>42649</v>
      </c>
      <c r="D1703" s="212" t="s">
        <v>891</v>
      </c>
      <c r="E1703" s="35">
        <v>42649</v>
      </c>
      <c r="F1703" s="144" t="s">
        <v>1298</v>
      </c>
      <c r="G1703" s="191"/>
      <c r="H1703" s="198"/>
      <c r="I1703" s="186"/>
      <c r="J1703" s="186"/>
      <c r="K1703" s="185"/>
      <c r="L1703" s="186"/>
      <c r="M1703" s="36">
        <v>117250000</v>
      </c>
      <c r="N1703" s="37"/>
      <c r="O1703" s="37" t="s">
        <v>34</v>
      </c>
      <c r="P1703" s="47" t="str">
        <f>IF(AND('331-CT'!$F$5=TH!H1703,OR(N1703="331",O1703="331")),"x","")</f>
        <v/>
      </c>
      <c r="Q1703" s="47" t="str">
        <f>IF(AND(B1703='111'!$L$11,OR($N1703=$Q$7,$O1703=$Q$7)),"x","")</f>
        <v/>
      </c>
      <c r="R1703" s="47" t="str">
        <f>IF(AND($N1703=$Q$7,$B1703&lt;'111'!$L$11),"x","")</f>
        <v/>
      </c>
      <c r="S1703" s="47" t="str">
        <f>IF(AND($O1703=$Q$7,$B1703&lt;'111'!$L$11),"x","")</f>
        <v>x</v>
      </c>
    </row>
    <row r="1704" spans="1:19" ht="15.75" customHeight="1">
      <c r="A1704" s="152" t="str">
        <f>IF(B1704&lt;&gt;"",IF(AND(B1704='IN-TC'!$S$4,OR(TH!N1704="1111",TH!O1704="1111")),TH!D1704,""),"")</f>
        <v>C33</v>
      </c>
      <c r="B1704" s="34">
        <f t="shared" si="60"/>
        <v>10</v>
      </c>
      <c r="C1704" s="35">
        <f t="shared" si="61"/>
        <v>42649</v>
      </c>
      <c r="D1704" s="212" t="s">
        <v>892</v>
      </c>
      <c r="E1704" s="35">
        <v>42649</v>
      </c>
      <c r="F1704" s="144" t="s">
        <v>1299</v>
      </c>
      <c r="G1704" s="191"/>
      <c r="H1704" s="198"/>
      <c r="I1704" s="186"/>
      <c r="J1704" s="186"/>
      <c r="K1704" s="185"/>
      <c r="L1704" s="186"/>
      <c r="M1704" s="36">
        <v>2745000</v>
      </c>
      <c r="N1704" s="37"/>
      <c r="O1704" s="37" t="s">
        <v>34</v>
      </c>
      <c r="P1704" s="47" t="str">
        <f>IF(AND('331-CT'!$F$5=TH!H1704,OR(N1704="331",O1704="331")),"x","")</f>
        <v/>
      </c>
      <c r="Q1704" s="47" t="str">
        <f>IF(AND(B1704='111'!$L$11,OR($N1704=$Q$7,$O1704=$Q$7)),"x","")</f>
        <v/>
      </c>
      <c r="R1704" s="47" t="str">
        <f>IF(AND($N1704=$Q$7,$B1704&lt;'111'!$L$11),"x","")</f>
        <v/>
      </c>
      <c r="S1704" s="47" t="str">
        <f>IF(AND($O1704=$Q$7,$B1704&lt;'111'!$L$11),"x","")</f>
        <v>x</v>
      </c>
    </row>
    <row r="1705" spans="1:19" ht="15.75" customHeight="1">
      <c r="A1705" s="152" t="str">
        <f>IF(B1705&lt;&gt;"",IF(AND(B1705='IN-TC'!$S$4,OR(TH!N1705="1111",TH!O1705="1111")),TH!D1705,""),"")</f>
        <v>C34</v>
      </c>
      <c r="B1705" s="34">
        <f t="shared" si="60"/>
        <v>10</v>
      </c>
      <c r="C1705" s="35">
        <f t="shared" si="61"/>
        <v>42649</v>
      </c>
      <c r="D1705" s="212" t="s">
        <v>893</v>
      </c>
      <c r="E1705" s="35">
        <v>42649</v>
      </c>
      <c r="F1705" s="144" t="s">
        <v>1111</v>
      </c>
      <c r="G1705" s="191"/>
      <c r="H1705" s="198"/>
      <c r="I1705" s="186"/>
      <c r="J1705" s="186"/>
      <c r="K1705" s="185"/>
      <c r="L1705" s="186"/>
      <c r="M1705" s="36">
        <v>500000</v>
      </c>
      <c r="N1705" s="37"/>
      <c r="O1705" s="37" t="s">
        <v>34</v>
      </c>
      <c r="P1705" s="47" t="str">
        <f>IF(AND('331-CT'!$F$5=TH!H1705,OR(N1705="331",O1705="331")),"x","")</f>
        <v/>
      </c>
      <c r="Q1705" s="47" t="str">
        <f>IF(AND(B1705='111'!$L$11,OR($N1705=$Q$7,$O1705=$Q$7)),"x","")</f>
        <v/>
      </c>
      <c r="R1705" s="47" t="str">
        <f>IF(AND($N1705=$Q$7,$B1705&lt;'111'!$L$11),"x","")</f>
        <v/>
      </c>
      <c r="S1705" s="47" t="str">
        <f>IF(AND($O1705=$Q$7,$B1705&lt;'111'!$L$11),"x","")</f>
        <v>x</v>
      </c>
    </row>
    <row r="1706" spans="1:19" ht="15.75" customHeight="1">
      <c r="A1706" s="152" t="str">
        <f>IF(B1706&lt;&gt;"",IF(AND(B1706='IN-TC'!$S$4,OR(TH!N1706="1111",TH!O1706="1111")),TH!D1706,""),"")</f>
        <v>C35</v>
      </c>
      <c r="B1706" s="34">
        <f t="shared" si="60"/>
        <v>10</v>
      </c>
      <c r="C1706" s="35">
        <f t="shared" si="61"/>
        <v>42649</v>
      </c>
      <c r="D1706" s="212" t="s">
        <v>894</v>
      </c>
      <c r="E1706" s="35">
        <v>42649</v>
      </c>
      <c r="F1706" s="144" t="s">
        <v>1300</v>
      </c>
      <c r="G1706" s="191" t="s">
        <v>110</v>
      </c>
      <c r="H1706" s="198"/>
      <c r="I1706" s="186"/>
      <c r="J1706" s="186"/>
      <c r="K1706" s="185"/>
      <c r="L1706" s="186"/>
      <c r="M1706" s="36">
        <v>10000000</v>
      </c>
      <c r="N1706" s="37"/>
      <c r="O1706" s="37" t="s">
        <v>34</v>
      </c>
      <c r="P1706" s="47" t="str">
        <f>IF(AND('331-CT'!$F$5=TH!H1706,OR(N1706="331",O1706="331")),"x","")</f>
        <v/>
      </c>
      <c r="Q1706" s="47" t="str">
        <f>IF(AND(B1706='111'!$L$11,OR($N1706=$Q$7,$O1706=$Q$7)),"x","")</f>
        <v/>
      </c>
      <c r="R1706" s="47" t="str">
        <f>IF(AND($N1706=$Q$7,$B1706&lt;'111'!$L$11),"x","")</f>
        <v/>
      </c>
      <c r="S1706" s="47" t="str">
        <f>IF(AND($O1706=$Q$7,$B1706&lt;'111'!$L$11),"x","")</f>
        <v>x</v>
      </c>
    </row>
    <row r="1707" spans="1:19" ht="15.75" customHeight="1">
      <c r="A1707" s="152" t="str">
        <f>IF(B1707&lt;&gt;"",IF(AND(B1707='IN-TC'!$S$4,OR(TH!N1707="1111",TH!O1707="1111")),TH!D1707,""),"")</f>
        <v>C36</v>
      </c>
      <c r="B1707" s="34">
        <f t="shared" si="60"/>
        <v>10</v>
      </c>
      <c r="C1707" s="35">
        <f t="shared" si="61"/>
        <v>42649</v>
      </c>
      <c r="D1707" s="212" t="s">
        <v>895</v>
      </c>
      <c r="E1707" s="35">
        <v>42649</v>
      </c>
      <c r="F1707" s="144" t="s">
        <v>1301</v>
      </c>
      <c r="G1707" s="191"/>
      <c r="H1707" s="198"/>
      <c r="I1707" s="186"/>
      <c r="J1707" s="186"/>
      <c r="K1707" s="185"/>
      <c r="L1707" s="186"/>
      <c r="M1707" s="36">
        <v>20000000</v>
      </c>
      <c r="N1707" s="37"/>
      <c r="O1707" s="37" t="s">
        <v>34</v>
      </c>
      <c r="P1707" s="47" t="str">
        <f>IF(AND('331-CT'!$F$5=TH!H1707,OR(N1707="331",O1707="331")),"x","")</f>
        <v/>
      </c>
      <c r="Q1707" s="47" t="str">
        <f>IF(AND(B1707='111'!$L$11,OR($N1707=$Q$7,$O1707=$Q$7)),"x","")</f>
        <v/>
      </c>
      <c r="R1707" s="47" t="str">
        <f>IF(AND($N1707=$Q$7,$B1707&lt;'111'!$L$11),"x","")</f>
        <v/>
      </c>
      <c r="S1707" s="47" t="str">
        <f>IF(AND($O1707=$Q$7,$B1707&lt;'111'!$L$11),"x","")</f>
        <v>x</v>
      </c>
    </row>
    <row r="1708" spans="1:19" ht="15.75" customHeight="1">
      <c r="A1708" s="152" t="str">
        <f>IF(B1708&lt;&gt;"",IF(AND(B1708='IN-TC'!$S$4,OR(TH!N1708="1111",TH!O1708="1111")),TH!D1708,""),"")</f>
        <v/>
      </c>
      <c r="B1708" s="34">
        <f t="shared" si="60"/>
        <v>10</v>
      </c>
      <c r="C1708" s="35">
        <f t="shared" si="61"/>
        <v>42649</v>
      </c>
      <c r="D1708" s="212"/>
      <c r="E1708" s="35">
        <v>42649</v>
      </c>
      <c r="F1708" s="144" t="s">
        <v>1441</v>
      </c>
      <c r="G1708" s="191" t="s">
        <v>1454</v>
      </c>
      <c r="H1708" s="198" t="s">
        <v>849</v>
      </c>
      <c r="I1708" s="186">
        <v>478</v>
      </c>
      <c r="J1708" s="186">
        <v>102000</v>
      </c>
      <c r="K1708" s="185"/>
      <c r="L1708" s="186"/>
      <c r="M1708" s="36">
        <f>ROUND(I1708*J1708,0)</f>
        <v>48756000</v>
      </c>
      <c r="N1708" s="37" t="s">
        <v>1443</v>
      </c>
      <c r="O1708" s="37" t="s">
        <v>8</v>
      </c>
      <c r="P1708" s="47" t="str">
        <f>IF(AND('331-CT'!$F$5=TH!H1708,OR(N1708="331",O1708="331")),"x","")</f>
        <v/>
      </c>
      <c r="Q1708" s="47" t="str">
        <f>IF(AND(B1708='111'!$L$11,OR($N1708=$Q$7,$O1708=$Q$7)),"x","")</f>
        <v/>
      </c>
      <c r="R1708" s="47" t="str">
        <f>IF(AND($N1708=$Q$7,$B1708&lt;'111'!$L$11),"x","")</f>
        <v/>
      </c>
      <c r="S1708" s="47" t="str">
        <f>IF(AND($O1708=$Q$7,$B1708&lt;'111'!$L$11),"x","")</f>
        <v/>
      </c>
    </row>
    <row r="1709" spans="1:19" ht="15.75" customHeight="1">
      <c r="A1709" s="152" t="str">
        <f>IF(B1709&lt;&gt;"",IF(AND(B1709='IN-TC'!$S$4,OR(TH!N1709="1111",TH!O1709="1111")),TH!D1709,""),"")</f>
        <v/>
      </c>
      <c r="B1709" s="34">
        <f t="shared" si="60"/>
        <v>10</v>
      </c>
      <c r="C1709" s="35">
        <f t="shared" si="61"/>
        <v>42649</v>
      </c>
      <c r="D1709" s="212"/>
      <c r="E1709" s="35">
        <v>42649</v>
      </c>
      <c r="F1709" s="144" t="s">
        <v>1450</v>
      </c>
      <c r="G1709" s="191" t="s">
        <v>204</v>
      </c>
      <c r="H1709" s="198" t="s">
        <v>849</v>
      </c>
      <c r="I1709" s="186">
        <v>2600</v>
      </c>
      <c r="J1709" s="186">
        <v>61000</v>
      </c>
      <c r="K1709" s="185"/>
      <c r="L1709" s="186"/>
      <c r="M1709" s="36">
        <f>ROUND(I1709*J1709,0)</f>
        <v>158600000</v>
      </c>
      <c r="N1709" s="37" t="s">
        <v>1443</v>
      </c>
      <c r="O1709" s="37" t="s">
        <v>8</v>
      </c>
      <c r="P1709" s="47" t="str">
        <f>IF(AND('331-CT'!$F$5=TH!H1709,OR(N1709="331",O1709="331")),"x","")</f>
        <v/>
      </c>
      <c r="Q1709" s="47" t="str">
        <f>IF(AND(B1709='111'!$L$11,OR($N1709=$Q$7,$O1709=$Q$7)),"x","")</f>
        <v/>
      </c>
      <c r="R1709" s="47" t="str">
        <f>IF(AND($N1709=$Q$7,$B1709&lt;'111'!$L$11),"x","")</f>
        <v/>
      </c>
      <c r="S1709" s="47" t="str">
        <f>IF(AND($O1709=$Q$7,$B1709&lt;'111'!$L$11),"x","")</f>
        <v/>
      </c>
    </row>
    <row r="1710" spans="1:19" ht="15.75" customHeight="1">
      <c r="A1710" s="152" t="str">
        <f>IF(B1710&lt;&gt;"",IF(AND(B1710='IN-TC'!$S$4,OR(TH!N1710="1111",TH!O1710="1111")),TH!D1710,""),"")</f>
        <v/>
      </c>
      <c r="B1710" s="34">
        <f t="shared" si="60"/>
        <v>10</v>
      </c>
      <c r="C1710" s="35">
        <f t="shared" si="61"/>
        <v>42649</v>
      </c>
      <c r="D1710" s="212"/>
      <c r="E1710" s="35">
        <v>42649</v>
      </c>
      <c r="F1710" s="144" t="s">
        <v>1449</v>
      </c>
      <c r="G1710" s="191" t="s">
        <v>204</v>
      </c>
      <c r="H1710" s="198" t="s">
        <v>849</v>
      </c>
      <c r="I1710" s="186">
        <v>3320</v>
      </c>
      <c r="J1710" s="186">
        <v>52000</v>
      </c>
      <c r="K1710" s="185"/>
      <c r="L1710" s="186"/>
      <c r="M1710" s="36">
        <f>ROUND(I1710*J1710,0)</f>
        <v>172640000</v>
      </c>
      <c r="N1710" s="37" t="s">
        <v>1443</v>
      </c>
      <c r="O1710" s="37" t="s">
        <v>8</v>
      </c>
      <c r="P1710" s="47" t="str">
        <f>IF(AND('331-CT'!$F$5=TH!H1710,OR(N1710="331",O1710="331")),"x","")</f>
        <v/>
      </c>
      <c r="Q1710" s="47" t="str">
        <f>IF(AND(B1710='111'!$L$11,OR($N1710=$Q$7,$O1710=$Q$7)),"x","")</f>
        <v/>
      </c>
      <c r="R1710" s="47" t="str">
        <f>IF(AND($N1710=$Q$7,$B1710&lt;'111'!$L$11),"x","")</f>
        <v/>
      </c>
      <c r="S1710" s="47" t="str">
        <f>IF(AND($O1710=$Q$7,$B1710&lt;'111'!$L$11),"x","")</f>
        <v/>
      </c>
    </row>
    <row r="1711" spans="1:19" ht="15.75" customHeight="1">
      <c r="A1711" s="152" t="str">
        <f>IF(B1711&lt;&gt;"",IF(AND(B1711='IN-TC'!$S$4,OR(TH!N1711="1111",TH!O1711="1111")),TH!D1711,""),"")</f>
        <v/>
      </c>
      <c r="B1711" s="34">
        <f t="shared" si="60"/>
        <v>10</v>
      </c>
      <c r="C1711" s="35">
        <f t="shared" si="61"/>
        <v>42649</v>
      </c>
      <c r="D1711" s="212"/>
      <c r="E1711" s="35">
        <v>42649</v>
      </c>
      <c r="F1711" s="144" t="s">
        <v>1449</v>
      </c>
      <c r="G1711" s="191" t="s">
        <v>204</v>
      </c>
      <c r="H1711" s="7" t="s">
        <v>851</v>
      </c>
      <c r="I1711" s="186">
        <v>2419</v>
      </c>
      <c r="J1711" s="186">
        <v>50000</v>
      </c>
      <c r="K1711" s="185"/>
      <c r="L1711" s="186"/>
      <c r="M1711" s="36">
        <f>ROUND(I1711*J1711,0)</f>
        <v>120950000</v>
      </c>
      <c r="N1711" s="37" t="s">
        <v>1443</v>
      </c>
      <c r="O1711" s="37" t="s">
        <v>8</v>
      </c>
      <c r="P1711" s="47" t="str">
        <f>IF(AND('331-CT'!$F$5=TH!H1711,OR(N1711="331",O1711="331")),"x","")</f>
        <v/>
      </c>
      <c r="Q1711" s="47" t="str">
        <f>IF(AND(B1711='111'!$L$11,OR($N1711=$Q$7,$O1711=$Q$7)),"x","")</f>
        <v/>
      </c>
      <c r="R1711" s="47" t="str">
        <f>IF(AND($N1711=$Q$7,$B1711&lt;'111'!$L$11),"x","")</f>
        <v/>
      </c>
      <c r="S1711" s="47" t="str">
        <f>IF(AND($O1711=$Q$7,$B1711&lt;'111'!$L$11),"x","")</f>
        <v/>
      </c>
    </row>
    <row r="1712" spans="1:19" ht="15.75" customHeight="1">
      <c r="A1712" s="152" t="str">
        <f>IF(B1712&lt;&gt;"",IF(AND(B1712='IN-TC'!$S$4,OR(TH!N1712="1111",TH!O1712="1111")),TH!D1712,""),"")</f>
        <v/>
      </c>
      <c r="B1712" s="34">
        <f t="shared" si="60"/>
        <v>10</v>
      </c>
      <c r="C1712" s="35">
        <f t="shared" si="61"/>
        <v>42649</v>
      </c>
      <c r="D1712" s="212"/>
      <c r="E1712" s="35">
        <v>42649</v>
      </c>
      <c r="F1712" s="144" t="s">
        <v>1451</v>
      </c>
      <c r="G1712" s="191"/>
      <c r="H1712" s="198" t="s">
        <v>1421</v>
      </c>
      <c r="I1712" s="186">
        <v>1510</v>
      </c>
      <c r="J1712" s="186">
        <v>13000</v>
      </c>
      <c r="K1712" s="185"/>
      <c r="L1712" s="186"/>
      <c r="M1712" s="36">
        <f>ROUND(I1712*J1712,-3)</f>
        <v>19630000</v>
      </c>
      <c r="N1712" s="37" t="s">
        <v>1443</v>
      </c>
      <c r="O1712" s="37" t="s">
        <v>8</v>
      </c>
      <c r="P1712" s="47" t="str">
        <f>IF(AND('331-CT'!$F$5=TH!H1712,OR(N1712="331",O1712="331")),"x","")</f>
        <v/>
      </c>
      <c r="Q1712" s="47" t="str">
        <f>IF(AND(B1712='111'!$L$11,OR($N1712=$Q$7,$O1712=$Q$7)),"x","")</f>
        <v/>
      </c>
      <c r="R1712" s="47" t="str">
        <f>IF(AND($N1712=$Q$7,$B1712&lt;'111'!$L$11),"x","")</f>
        <v/>
      </c>
      <c r="S1712" s="47" t="str">
        <f>IF(AND($O1712=$Q$7,$B1712&lt;'111'!$L$11),"x","")</f>
        <v/>
      </c>
    </row>
    <row r="1713" spans="1:19" ht="15.75" customHeight="1">
      <c r="A1713" s="152" t="str">
        <f>IF(B1713&lt;&gt;"",IF(AND(B1713='IN-TC'!$S$4,OR(TH!N1713="1111",TH!O1713="1111")),TH!D1713,""),"")</f>
        <v>T05</v>
      </c>
      <c r="B1713" s="34">
        <f t="shared" si="60"/>
        <v>10</v>
      </c>
      <c r="C1713" s="35">
        <f t="shared" si="61"/>
        <v>42650</v>
      </c>
      <c r="D1713" s="212" t="s">
        <v>938</v>
      </c>
      <c r="E1713" s="35">
        <v>42650</v>
      </c>
      <c r="F1713" s="144" t="s">
        <v>1302</v>
      </c>
      <c r="G1713" s="191" t="s">
        <v>105</v>
      </c>
      <c r="H1713" s="198" t="s">
        <v>1413</v>
      </c>
      <c r="I1713" s="186"/>
      <c r="J1713" s="186"/>
      <c r="K1713" s="185"/>
      <c r="L1713" s="186"/>
      <c r="M1713" s="36">
        <v>2200000000</v>
      </c>
      <c r="N1713" s="37" t="s">
        <v>34</v>
      </c>
      <c r="O1713" s="37" t="s">
        <v>812</v>
      </c>
      <c r="P1713" s="47" t="str">
        <f>IF(AND('331-CT'!$F$5=TH!H1713,OR(N1713="331",O1713="331")),"x","")</f>
        <v/>
      </c>
      <c r="Q1713" s="47" t="str">
        <f>IF(AND(B1713='111'!$L$11,OR($N1713=$Q$7,$O1713=$Q$7)),"x","")</f>
        <v/>
      </c>
      <c r="R1713" s="47" t="str">
        <f>IF(AND($N1713=$Q$7,$B1713&lt;'111'!$L$11),"x","")</f>
        <v>x</v>
      </c>
      <c r="S1713" s="47" t="str">
        <f>IF(AND($O1713=$Q$7,$B1713&lt;'111'!$L$11),"x","")</f>
        <v/>
      </c>
    </row>
    <row r="1714" spans="1:19" ht="15.75" customHeight="1">
      <c r="A1714" s="152" t="str">
        <f>IF(B1714&lt;&gt;"",IF(AND(B1714='IN-TC'!$S$4,OR(TH!N1714="1111",TH!O1714="1111")),TH!D1714,""),"")</f>
        <v>C37</v>
      </c>
      <c r="B1714" s="34">
        <f t="shared" si="60"/>
        <v>10</v>
      </c>
      <c r="C1714" s="35">
        <f t="shared" si="61"/>
        <v>42650</v>
      </c>
      <c r="D1714" s="212" t="s">
        <v>896</v>
      </c>
      <c r="E1714" s="35">
        <v>42650</v>
      </c>
      <c r="F1714" s="144" t="s">
        <v>1303</v>
      </c>
      <c r="G1714" s="191" t="s">
        <v>104</v>
      </c>
      <c r="H1714" s="198"/>
      <c r="I1714" s="186"/>
      <c r="J1714" s="186"/>
      <c r="K1714" s="185"/>
      <c r="L1714" s="186"/>
      <c r="M1714" s="36">
        <v>2200000000</v>
      </c>
      <c r="N1714" s="37"/>
      <c r="O1714" s="37" t="s">
        <v>34</v>
      </c>
      <c r="P1714" s="47" t="str">
        <f>IF(AND('331-CT'!$F$5=TH!H1714,OR(N1714="331",O1714="331")),"x","")</f>
        <v/>
      </c>
      <c r="Q1714" s="47" t="str">
        <f>IF(AND(B1714='111'!$L$11,OR($N1714=$Q$7,$O1714=$Q$7)),"x","")</f>
        <v/>
      </c>
      <c r="R1714" s="47" t="str">
        <f>IF(AND($N1714=$Q$7,$B1714&lt;'111'!$L$11),"x","")</f>
        <v/>
      </c>
      <c r="S1714" s="47" t="str">
        <f>IF(AND($O1714=$Q$7,$B1714&lt;'111'!$L$11),"x","")</f>
        <v>x</v>
      </c>
    </row>
    <row r="1715" spans="1:19" ht="15.75" customHeight="1">
      <c r="A1715" s="152" t="str">
        <f>IF(B1715&lt;&gt;"",IF(AND(B1715='IN-TC'!$S$4,OR(TH!N1715="1111",TH!O1715="1111")),TH!D1715,""),"")</f>
        <v>T06</v>
      </c>
      <c r="B1715" s="34">
        <f t="shared" si="60"/>
        <v>10</v>
      </c>
      <c r="C1715" s="35">
        <f t="shared" si="61"/>
        <v>42650</v>
      </c>
      <c r="D1715" s="212" t="s">
        <v>939</v>
      </c>
      <c r="E1715" s="35">
        <v>42650</v>
      </c>
      <c r="F1715" s="144" t="s">
        <v>1191</v>
      </c>
      <c r="G1715" s="191" t="s">
        <v>104</v>
      </c>
      <c r="H1715" s="198"/>
      <c r="I1715" s="186"/>
      <c r="J1715" s="186"/>
      <c r="K1715" s="185"/>
      <c r="L1715" s="186"/>
      <c r="M1715" s="36">
        <v>2150000000</v>
      </c>
      <c r="N1715" s="37" t="s">
        <v>34</v>
      </c>
      <c r="O1715" s="37"/>
      <c r="P1715" s="47" t="str">
        <f>IF(AND('331-CT'!$F$5=TH!H1715,OR(N1715="331",O1715="331")),"x","")</f>
        <v/>
      </c>
      <c r="Q1715" s="47" t="str">
        <f>IF(AND(B1715='111'!$L$11,OR($N1715=$Q$7,$O1715=$Q$7)),"x","")</f>
        <v/>
      </c>
      <c r="R1715" s="47" t="str">
        <f>IF(AND($N1715=$Q$7,$B1715&lt;'111'!$L$11),"x","")</f>
        <v>x</v>
      </c>
      <c r="S1715" s="47" t="str">
        <f>IF(AND($O1715=$Q$7,$B1715&lt;'111'!$L$11),"x","")</f>
        <v/>
      </c>
    </row>
    <row r="1716" spans="1:19" ht="15.75" customHeight="1">
      <c r="A1716" s="152" t="str">
        <f>IF(B1716&lt;&gt;"",IF(AND(B1716='IN-TC'!$S$4,OR(TH!N1716="1111",TH!O1716="1111")),TH!D1716,""),"")</f>
        <v>C38</v>
      </c>
      <c r="B1716" s="34">
        <f t="shared" si="60"/>
        <v>10</v>
      </c>
      <c r="C1716" s="35">
        <f t="shared" si="61"/>
        <v>42650</v>
      </c>
      <c r="D1716" s="212" t="s">
        <v>897</v>
      </c>
      <c r="E1716" s="35">
        <v>42650</v>
      </c>
      <c r="F1716" s="144" t="s">
        <v>748</v>
      </c>
      <c r="G1716" s="191" t="s">
        <v>105</v>
      </c>
      <c r="H1716" s="198" t="s">
        <v>1413</v>
      </c>
      <c r="I1716" s="186"/>
      <c r="J1716" s="186"/>
      <c r="K1716" s="185"/>
      <c r="L1716" s="186"/>
      <c r="M1716" s="36">
        <v>2200000000</v>
      </c>
      <c r="N1716" s="37" t="s">
        <v>812</v>
      </c>
      <c r="O1716" s="37" t="s">
        <v>34</v>
      </c>
      <c r="P1716" s="47" t="str">
        <f>IF(AND('331-CT'!$F$5=TH!H1716,OR(N1716="331",O1716="331")),"x","")</f>
        <v/>
      </c>
      <c r="Q1716" s="47" t="str">
        <f>IF(AND(B1716='111'!$L$11,OR($N1716=$Q$7,$O1716=$Q$7)),"x","")</f>
        <v/>
      </c>
      <c r="R1716" s="47" t="str">
        <f>IF(AND($N1716=$Q$7,$B1716&lt;'111'!$L$11),"x","")</f>
        <v/>
      </c>
      <c r="S1716" s="47" t="str">
        <f>IF(AND($O1716=$Q$7,$B1716&lt;'111'!$L$11),"x","")</f>
        <v>x</v>
      </c>
    </row>
    <row r="1717" spans="1:19" ht="15.75" customHeight="1">
      <c r="A1717" s="152" t="str">
        <f>IF(B1717&lt;&gt;"",IF(AND(B1717='IN-TC'!$S$4,OR(TH!N1717="1111",TH!O1717="1111")),TH!D1717,""),"")</f>
        <v>T07</v>
      </c>
      <c r="B1717" s="34">
        <f t="shared" si="60"/>
        <v>10</v>
      </c>
      <c r="C1717" s="35">
        <f t="shared" si="61"/>
        <v>42650</v>
      </c>
      <c r="D1717" s="212" t="s">
        <v>930</v>
      </c>
      <c r="E1717" s="35">
        <v>42650</v>
      </c>
      <c r="F1717" s="144" t="s">
        <v>1191</v>
      </c>
      <c r="G1717" s="191" t="s">
        <v>104</v>
      </c>
      <c r="H1717" s="198"/>
      <c r="I1717" s="186"/>
      <c r="J1717" s="186"/>
      <c r="K1717" s="185"/>
      <c r="L1717" s="186"/>
      <c r="M1717" s="36">
        <v>1900000000</v>
      </c>
      <c r="N1717" s="37" t="s">
        <v>34</v>
      </c>
      <c r="O1717" s="37"/>
      <c r="P1717" s="47" t="str">
        <f>IF(AND('331-CT'!$F$5=TH!H1717,OR(N1717="331",O1717="331")),"x","")</f>
        <v/>
      </c>
      <c r="Q1717" s="47" t="str">
        <f>IF(AND(B1717='111'!$L$11,OR($N1717=$Q$7,$O1717=$Q$7)),"x","")</f>
        <v/>
      </c>
      <c r="R1717" s="47" t="str">
        <f>IF(AND($N1717=$Q$7,$B1717&lt;'111'!$L$11),"x","")</f>
        <v>x</v>
      </c>
      <c r="S1717" s="47" t="str">
        <f>IF(AND($O1717=$Q$7,$B1717&lt;'111'!$L$11),"x","")</f>
        <v/>
      </c>
    </row>
    <row r="1718" spans="1:19" ht="15.75" customHeight="1">
      <c r="A1718" s="152" t="str">
        <f>IF(B1718&lt;&gt;"",IF(AND(B1718='IN-TC'!$S$4,OR(TH!N1718="1111",TH!O1718="1111")),TH!D1718,""),"")</f>
        <v>C39</v>
      </c>
      <c r="B1718" s="34">
        <f t="shared" si="60"/>
        <v>10</v>
      </c>
      <c r="C1718" s="35">
        <f t="shared" si="61"/>
        <v>42650</v>
      </c>
      <c r="D1718" s="212" t="s">
        <v>898</v>
      </c>
      <c r="E1718" s="35">
        <v>42650</v>
      </c>
      <c r="F1718" s="144" t="s">
        <v>1256</v>
      </c>
      <c r="G1718" s="191" t="s">
        <v>104</v>
      </c>
      <c r="H1718" s="198"/>
      <c r="I1718" s="186"/>
      <c r="J1718" s="186"/>
      <c r="K1718" s="185"/>
      <c r="L1718" s="186"/>
      <c r="M1718" s="36">
        <v>900000000</v>
      </c>
      <c r="N1718" s="37"/>
      <c r="O1718" s="37" t="s">
        <v>34</v>
      </c>
      <c r="P1718" s="47" t="str">
        <f>IF(AND('331-CT'!$F$5=TH!H1718,OR(N1718="331",O1718="331")),"x","")</f>
        <v/>
      </c>
      <c r="Q1718" s="47" t="str">
        <f>IF(AND(B1718='111'!$L$11,OR($N1718=$Q$7,$O1718=$Q$7)),"x","")</f>
        <v/>
      </c>
      <c r="R1718" s="47" t="str">
        <f>IF(AND($N1718=$Q$7,$B1718&lt;'111'!$L$11),"x","")</f>
        <v/>
      </c>
      <c r="S1718" s="47" t="str">
        <f>IF(AND($O1718=$Q$7,$B1718&lt;'111'!$L$11),"x","")</f>
        <v>x</v>
      </c>
    </row>
    <row r="1719" spans="1:19" ht="15.75" customHeight="1">
      <c r="A1719" s="152" t="str">
        <f>IF(B1719&lt;&gt;"",IF(AND(B1719='IN-TC'!$S$4,OR(TH!N1719="1111",TH!O1719="1111")),TH!D1719,""),"")</f>
        <v>C40</v>
      </c>
      <c r="B1719" s="34">
        <f t="shared" si="60"/>
        <v>10</v>
      </c>
      <c r="C1719" s="35">
        <f t="shared" si="61"/>
        <v>42650</v>
      </c>
      <c r="D1719" s="212" t="s">
        <v>899</v>
      </c>
      <c r="E1719" s="35">
        <v>42650</v>
      </c>
      <c r="F1719" s="144" t="s">
        <v>366</v>
      </c>
      <c r="G1719" s="191" t="s">
        <v>206</v>
      </c>
      <c r="H1719" s="198" t="s">
        <v>839</v>
      </c>
      <c r="I1719" s="186"/>
      <c r="J1719" s="186"/>
      <c r="K1719" s="185"/>
      <c r="L1719" s="186"/>
      <c r="M1719" s="36">
        <v>359000000</v>
      </c>
      <c r="N1719" s="37" t="s">
        <v>8</v>
      </c>
      <c r="O1719" s="37" t="s">
        <v>34</v>
      </c>
      <c r="P1719" s="47" t="str">
        <f>IF(AND('331-CT'!$F$5=TH!H1719,OR(N1719="331",O1719="331")),"x","")</f>
        <v/>
      </c>
      <c r="Q1719" s="47" t="str">
        <f>IF(AND(B1719='111'!$L$11,OR($N1719=$Q$7,$O1719=$Q$7)),"x","")</f>
        <v/>
      </c>
      <c r="R1719" s="47" t="str">
        <f>IF(AND($N1719=$Q$7,$B1719&lt;'111'!$L$11),"x","")</f>
        <v/>
      </c>
      <c r="S1719" s="47" t="str">
        <f>IF(AND($O1719=$Q$7,$B1719&lt;'111'!$L$11),"x","")</f>
        <v>x</v>
      </c>
    </row>
    <row r="1720" spans="1:19" ht="15.75" customHeight="1">
      <c r="A1720" s="152" t="str">
        <f>IF(B1720&lt;&gt;"",IF(AND(B1720='IN-TC'!$S$4,OR(TH!N1720="1111",TH!O1720="1111")),TH!D1720,""),"")</f>
        <v>C41</v>
      </c>
      <c r="B1720" s="34">
        <f t="shared" si="60"/>
        <v>10</v>
      </c>
      <c r="C1720" s="35">
        <f t="shared" si="61"/>
        <v>42650</v>
      </c>
      <c r="D1720" s="212" t="s">
        <v>900</v>
      </c>
      <c r="E1720" s="35">
        <v>42650</v>
      </c>
      <c r="F1720" s="144" t="s">
        <v>1394</v>
      </c>
      <c r="G1720" s="191" t="s">
        <v>206</v>
      </c>
      <c r="H1720" s="198" t="s">
        <v>851</v>
      </c>
      <c r="I1720" s="186"/>
      <c r="J1720" s="186"/>
      <c r="K1720" s="185"/>
      <c r="L1720" s="186"/>
      <c r="M1720" s="36">
        <v>300000000</v>
      </c>
      <c r="N1720" s="37" t="s">
        <v>8</v>
      </c>
      <c r="O1720" s="37" t="s">
        <v>34</v>
      </c>
      <c r="P1720" s="47" t="str">
        <f>IF(AND('331-CT'!$F$5=TH!H1720,OR(N1720="331",O1720="331")),"x","")</f>
        <v/>
      </c>
      <c r="Q1720" s="47" t="str">
        <f>IF(AND(B1720='111'!$L$11,OR($N1720=$Q$7,$O1720=$Q$7)),"x","")</f>
        <v/>
      </c>
      <c r="R1720" s="47" t="str">
        <f>IF(AND($N1720=$Q$7,$B1720&lt;'111'!$L$11),"x","")</f>
        <v/>
      </c>
      <c r="S1720" s="47" t="str">
        <f>IF(AND($O1720=$Q$7,$B1720&lt;'111'!$L$11),"x","")</f>
        <v>x</v>
      </c>
    </row>
    <row r="1721" spans="1:19" ht="15.75" customHeight="1">
      <c r="A1721" s="152" t="str">
        <f>IF(B1721&lt;&gt;"",IF(AND(B1721='IN-TC'!$S$4,OR(TH!N1721="1111",TH!O1721="1111")),TH!D1721,""),"")</f>
        <v>C42</v>
      </c>
      <c r="B1721" s="34">
        <f t="shared" si="60"/>
        <v>10</v>
      </c>
      <c r="C1721" s="35">
        <f t="shared" si="61"/>
        <v>42650</v>
      </c>
      <c r="D1721" s="212" t="s">
        <v>901</v>
      </c>
      <c r="E1721" s="35">
        <v>42650</v>
      </c>
      <c r="F1721" s="144" t="s">
        <v>347</v>
      </c>
      <c r="G1721" s="191" t="s">
        <v>206</v>
      </c>
      <c r="H1721" s="198" t="s">
        <v>825</v>
      </c>
      <c r="I1721" s="186"/>
      <c r="J1721" s="186"/>
      <c r="K1721" s="185"/>
      <c r="L1721" s="186"/>
      <c r="M1721" s="36">
        <v>82329000</v>
      </c>
      <c r="N1721" s="37" t="s">
        <v>8</v>
      </c>
      <c r="O1721" s="37" t="s">
        <v>34</v>
      </c>
      <c r="P1721" s="47" t="str">
        <f>IF(AND('331-CT'!$F$5=TH!H1721,OR(N1721="331",O1721="331")),"x","")</f>
        <v/>
      </c>
      <c r="Q1721" s="47" t="str">
        <f>IF(AND(B1721='111'!$L$11,OR($N1721=$Q$7,$O1721=$Q$7)),"x","")</f>
        <v/>
      </c>
      <c r="R1721" s="47" t="str">
        <f>IF(AND($N1721=$Q$7,$B1721&lt;'111'!$L$11),"x","")</f>
        <v/>
      </c>
      <c r="S1721" s="47" t="str">
        <f>IF(AND($O1721=$Q$7,$B1721&lt;'111'!$L$11),"x","")</f>
        <v>x</v>
      </c>
    </row>
    <row r="1722" spans="1:19" ht="15.75" customHeight="1">
      <c r="A1722" s="152" t="str">
        <f>IF(B1722&lt;&gt;"",IF(AND(B1722='IN-TC'!$S$4,OR(TH!N1722="1111",TH!O1722="1111")),TH!D1722,""),"")</f>
        <v>C43</v>
      </c>
      <c r="B1722" s="34">
        <f t="shared" si="60"/>
        <v>10</v>
      </c>
      <c r="C1722" s="35">
        <f t="shared" si="61"/>
        <v>42650</v>
      </c>
      <c r="D1722" s="212" t="s">
        <v>902</v>
      </c>
      <c r="E1722" s="35">
        <v>42650</v>
      </c>
      <c r="F1722" s="144" t="s">
        <v>367</v>
      </c>
      <c r="G1722" s="191" t="s">
        <v>206</v>
      </c>
      <c r="H1722" s="198" t="s">
        <v>849</v>
      </c>
      <c r="I1722" s="186"/>
      <c r="J1722" s="186"/>
      <c r="K1722" s="185"/>
      <c r="L1722" s="186"/>
      <c r="M1722" s="36">
        <v>200000000</v>
      </c>
      <c r="N1722" s="37" t="s">
        <v>8</v>
      </c>
      <c r="O1722" s="37" t="s">
        <v>34</v>
      </c>
      <c r="P1722" s="47" t="str">
        <f>IF(AND('331-CT'!$F$5=TH!H1722,OR(N1722="331",O1722="331")),"x","")</f>
        <v/>
      </c>
      <c r="Q1722" s="47" t="str">
        <f>IF(AND(B1722='111'!$L$11,OR($N1722=$Q$7,$O1722=$Q$7)),"x","")</f>
        <v/>
      </c>
      <c r="R1722" s="47" t="str">
        <f>IF(AND($N1722=$Q$7,$B1722&lt;'111'!$L$11),"x","")</f>
        <v/>
      </c>
      <c r="S1722" s="47" t="str">
        <f>IF(AND($O1722=$Q$7,$B1722&lt;'111'!$L$11),"x","")</f>
        <v>x</v>
      </c>
    </row>
    <row r="1723" spans="1:19" ht="15.75" customHeight="1">
      <c r="A1723" s="152" t="str">
        <f>IF(B1723&lt;&gt;"",IF(AND(B1723='IN-TC'!$S$4,OR(TH!N1723="1111",TH!O1723="1111")),TH!D1723,""),"")</f>
        <v>C44</v>
      </c>
      <c r="B1723" s="34">
        <f t="shared" si="60"/>
        <v>10</v>
      </c>
      <c r="C1723" s="35">
        <f t="shared" si="61"/>
        <v>42650</v>
      </c>
      <c r="D1723" s="212" t="s">
        <v>903</v>
      </c>
      <c r="E1723" s="35">
        <v>42650</v>
      </c>
      <c r="F1723" s="144" t="s">
        <v>1304</v>
      </c>
      <c r="G1723" s="191" t="s">
        <v>105</v>
      </c>
      <c r="H1723" s="198" t="s">
        <v>1073</v>
      </c>
      <c r="I1723" s="186"/>
      <c r="J1723" s="186"/>
      <c r="K1723" s="185"/>
      <c r="L1723" s="186"/>
      <c r="M1723" s="36">
        <v>160000000</v>
      </c>
      <c r="N1723" s="37" t="s">
        <v>812</v>
      </c>
      <c r="O1723" s="37" t="s">
        <v>34</v>
      </c>
      <c r="P1723" s="47" t="str">
        <f>IF(AND('331-CT'!$F$5=TH!H1723,OR(N1723="331",O1723="331")),"x","")</f>
        <v/>
      </c>
      <c r="Q1723" s="47" t="str">
        <f>IF(AND(B1723='111'!$L$11,OR($N1723=$Q$7,$O1723=$Q$7)),"x","")</f>
        <v/>
      </c>
      <c r="R1723" s="47" t="str">
        <f>IF(AND($N1723=$Q$7,$B1723&lt;'111'!$L$11),"x","")</f>
        <v/>
      </c>
      <c r="S1723" s="47" t="str">
        <f>IF(AND($O1723=$Q$7,$B1723&lt;'111'!$L$11),"x","")</f>
        <v>x</v>
      </c>
    </row>
    <row r="1724" spans="1:19" ht="15.75" customHeight="1">
      <c r="A1724" s="152" t="str">
        <f>IF(B1724&lt;&gt;"",IF(AND(B1724='IN-TC'!$S$4,OR(TH!N1724="1111",TH!O1724="1111")),TH!D1724,""),"")</f>
        <v/>
      </c>
      <c r="B1724" s="34">
        <f t="shared" si="60"/>
        <v>10</v>
      </c>
      <c r="C1724" s="35">
        <f t="shared" si="61"/>
        <v>42650</v>
      </c>
      <c r="D1724" s="212"/>
      <c r="E1724" s="35">
        <v>42650</v>
      </c>
      <c r="F1724" s="144" t="s">
        <v>1451</v>
      </c>
      <c r="G1724" s="191"/>
      <c r="H1724" s="198" t="s">
        <v>840</v>
      </c>
      <c r="I1724" s="186">
        <v>8280</v>
      </c>
      <c r="J1724" s="186">
        <v>14000</v>
      </c>
      <c r="K1724" s="185"/>
      <c r="L1724" s="186"/>
      <c r="M1724" s="36">
        <f>ROUND(I1724*J1724,0)</f>
        <v>115920000</v>
      </c>
      <c r="N1724" s="37" t="s">
        <v>1443</v>
      </c>
      <c r="O1724" s="37" t="s">
        <v>8</v>
      </c>
      <c r="P1724" s="47" t="str">
        <f>IF(AND('331-CT'!$F$5=TH!H1724,OR(N1724="331",O1724="331")),"x","")</f>
        <v/>
      </c>
      <c r="Q1724" s="47" t="str">
        <f>IF(AND(B1724='111'!$L$11,OR($N1724=$Q$7,$O1724=$Q$7)),"x","")</f>
        <v/>
      </c>
      <c r="R1724" s="47" t="str">
        <f>IF(AND($N1724=$Q$7,$B1724&lt;'111'!$L$11),"x","")</f>
        <v/>
      </c>
      <c r="S1724" s="47" t="str">
        <f>IF(AND($O1724=$Q$7,$B1724&lt;'111'!$L$11),"x","")</f>
        <v/>
      </c>
    </row>
    <row r="1725" spans="1:19" ht="15.75" customHeight="1">
      <c r="A1725" s="152" t="str">
        <f>IF(B1725&lt;&gt;"",IF(AND(B1725='IN-TC'!$S$4,OR(TH!N1725="1111",TH!O1725="1111")),TH!D1725,""),"")</f>
        <v/>
      </c>
      <c r="B1725" s="34">
        <f t="shared" si="60"/>
        <v>10</v>
      </c>
      <c r="C1725" s="35">
        <f t="shared" si="61"/>
        <v>42650</v>
      </c>
      <c r="D1725" s="212"/>
      <c r="E1725" s="35">
        <v>42650</v>
      </c>
      <c r="F1725" s="144" t="s">
        <v>1469</v>
      </c>
      <c r="G1725" s="191"/>
      <c r="H1725" s="198" t="s">
        <v>840</v>
      </c>
      <c r="I1725" s="186">
        <v>96</v>
      </c>
      <c r="J1725" s="186">
        <v>20000</v>
      </c>
      <c r="K1725" s="185"/>
      <c r="L1725" s="186"/>
      <c r="M1725" s="36">
        <f>ROUND(I1725*J1725,0)</f>
        <v>1920000</v>
      </c>
      <c r="N1725" s="37" t="s">
        <v>1443</v>
      </c>
      <c r="O1725" s="37" t="s">
        <v>8</v>
      </c>
      <c r="P1725" s="47" t="str">
        <f>IF(AND('331-CT'!$F$5=TH!H1725,OR(N1725="331",O1725="331")),"x","")</f>
        <v/>
      </c>
      <c r="Q1725" s="47" t="str">
        <f>IF(AND(B1725='111'!$L$11,OR($N1725=$Q$7,$O1725=$Q$7)),"x","")</f>
        <v/>
      </c>
      <c r="R1725" s="47" t="str">
        <f>IF(AND($N1725=$Q$7,$B1725&lt;'111'!$L$11),"x","")</f>
        <v/>
      </c>
      <c r="S1725" s="47" t="str">
        <f>IF(AND($O1725=$Q$7,$B1725&lt;'111'!$L$11),"x","")</f>
        <v/>
      </c>
    </row>
    <row r="1726" spans="1:19" ht="15.75" customHeight="1">
      <c r="A1726" s="152" t="str">
        <f>IF(B1726&lt;&gt;"",IF(AND(B1726='IN-TC'!$S$4,OR(TH!N1726="1111",TH!O1726="1111")),TH!D1726,""),"")</f>
        <v/>
      </c>
      <c r="B1726" s="34">
        <f t="shared" si="60"/>
        <v>10</v>
      </c>
      <c r="C1726" s="35">
        <f t="shared" si="61"/>
        <v>42650</v>
      </c>
      <c r="D1726" s="212"/>
      <c r="E1726" s="35">
        <v>42650</v>
      </c>
      <c r="F1726" s="144" t="s">
        <v>1441</v>
      </c>
      <c r="G1726" s="191"/>
      <c r="H1726" s="198" t="s">
        <v>843</v>
      </c>
      <c r="I1726" s="186">
        <v>2215.5</v>
      </c>
      <c r="J1726" s="186">
        <v>105000</v>
      </c>
      <c r="K1726" s="185"/>
      <c r="L1726" s="186"/>
      <c r="M1726" s="36">
        <f>ROUND(I1726*J1726,0)</f>
        <v>232627500</v>
      </c>
      <c r="N1726" s="37" t="s">
        <v>1443</v>
      </c>
      <c r="O1726" s="37" t="s">
        <v>8</v>
      </c>
      <c r="P1726" s="47" t="str">
        <f>IF(AND('331-CT'!$F$5=TH!H1726,OR(N1726="331",O1726="331")),"x","")</f>
        <v/>
      </c>
      <c r="Q1726" s="47" t="str">
        <f>IF(AND(B1726='111'!$L$11,OR($N1726=$Q$7,$O1726=$Q$7)),"x","")</f>
        <v/>
      </c>
      <c r="R1726" s="47" t="str">
        <f>IF(AND($N1726=$Q$7,$B1726&lt;'111'!$L$11),"x","")</f>
        <v/>
      </c>
      <c r="S1726" s="47" t="str">
        <f>IF(AND($O1726=$Q$7,$B1726&lt;'111'!$L$11),"x","")</f>
        <v/>
      </c>
    </row>
    <row r="1727" spans="1:19" ht="15.75" customHeight="1">
      <c r="A1727" s="152" t="str">
        <f>IF(B1727&lt;&gt;"",IF(AND(B1727='IN-TC'!$S$4,OR(TH!N1727="1111",TH!O1727="1111")),TH!D1727,""),"")</f>
        <v/>
      </c>
      <c r="B1727" s="34">
        <f t="shared" si="60"/>
        <v>10</v>
      </c>
      <c r="C1727" s="35">
        <f t="shared" si="61"/>
        <v>42650</v>
      </c>
      <c r="D1727" s="212"/>
      <c r="E1727" s="35">
        <v>42650</v>
      </c>
      <c r="F1727" s="144" t="s">
        <v>1466</v>
      </c>
      <c r="G1727" s="191" t="s">
        <v>204</v>
      </c>
      <c r="H1727" s="198" t="s">
        <v>832</v>
      </c>
      <c r="I1727" s="186">
        <v>599</v>
      </c>
      <c r="J1727" s="186">
        <v>17000</v>
      </c>
      <c r="K1727" s="185"/>
      <c r="L1727" s="186"/>
      <c r="M1727" s="36">
        <f>ROUND(I1727*J1727,0)</f>
        <v>10183000</v>
      </c>
      <c r="N1727" s="37" t="s">
        <v>1443</v>
      </c>
      <c r="O1727" s="37" t="s">
        <v>8</v>
      </c>
      <c r="P1727" s="47" t="str">
        <f>IF(AND('331-CT'!$F$5=TH!H1727,OR(N1727="331",O1727="331")),"x","")</f>
        <v/>
      </c>
      <c r="Q1727" s="47" t="str">
        <f>IF(AND(B1727='111'!$L$11,OR($N1727=$Q$7,$O1727=$Q$7)),"x","")</f>
        <v/>
      </c>
      <c r="R1727" s="47" t="str">
        <f>IF(AND($N1727=$Q$7,$B1727&lt;'111'!$L$11),"x","")</f>
        <v/>
      </c>
      <c r="S1727" s="47" t="str">
        <f>IF(AND($O1727=$Q$7,$B1727&lt;'111'!$L$11),"x","")</f>
        <v/>
      </c>
    </row>
    <row r="1728" spans="1:19" ht="15.75" customHeight="1">
      <c r="A1728" s="152" t="str">
        <f>IF(B1728&lt;&gt;"",IF(AND(B1728='IN-TC'!$S$4,OR(TH!N1728="1111",TH!O1728="1111")),TH!D1728,""),"")</f>
        <v/>
      </c>
      <c r="B1728" s="34">
        <f t="shared" si="60"/>
        <v>10</v>
      </c>
      <c r="C1728" s="35">
        <f t="shared" si="61"/>
        <v>42650</v>
      </c>
      <c r="D1728" s="212"/>
      <c r="E1728" s="35">
        <v>42650</v>
      </c>
      <c r="F1728" s="144" t="s">
        <v>1451</v>
      </c>
      <c r="G1728" s="191"/>
      <c r="H1728" s="198" t="s">
        <v>1421</v>
      </c>
      <c r="I1728" s="186">
        <v>3299</v>
      </c>
      <c r="J1728" s="186">
        <v>12500</v>
      </c>
      <c r="K1728" s="185"/>
      <c r="L1728" s="186"/>
      <c r="M1728" s="36">
        <f>ROUND(I1728*J1728,-3)</f>
        <v>41238000</v>
      </c>
      <c r="N1728" s="37" t="s">
        <v>1443</v>
      </c>
      <c r="O1728" s="37" t="s">
        <v>8</v>
      </c>
      <c r="P1728" s="47" t="str">
        <f>IF(AND('331-CT'!$F$5=TH!H1728,OR(N1728="331",O1728="331")),"x","")</f>
        <v/>
      </c>
      <c r="Q1728" s="47" t="str">
        <f>IF(AND(B1728='111'!$L$11,OR($N1728=$Q$7,$O1728=$Q$7)),"x","")</f>
        <v/>
      </c>
      <c r="R1728" s="47" t="str">
        <f>IF(AND($N1728=$Q$7,$B1728&lt;'111'!$L$11),"x","")</f>
        <v/>
      </c>
      <c r="S1728" s="47" t="str">
        <f>IF(AND($O1728=$Q$7,$B1728&lt;'111'!$L$11),"x","")</f>
        <v/>
      </c>
    </row>
    <row r="1729" spans="1:19" ht="15.75" customHeight="1">
      <c r="A1729" s="152" t="str">
        <f>IF(B1729&lt;&gt;"",IF(AND(B1729='IN-TC'!$S$4,OR(TH!N1729="1111",TH!O1729="1111")),TH!D1729,""),"")</f>
        <v>T08</v>
      </c>
      <c r="B1729" s="34">
        <f t="shared" si="60"/>
        <v>10</v>
      </c>
      <c r="C1729" s="35">
        <f t="shared" si="61"/>
        <v>42651</v>
      </c>
      <c r="D1729" s="212" t="s">
        <v>1012</v>
      </c>
      <c r="E1729" s="35">
        <v>42651</v>
      </c>
      <c r="F1729" s="144" t="s">
        <v>1305</v>
      </c>
      <c r="G1729" s="191" t="s">
        <v>113</v>
      </c>
      <c r="H1729" s="198" t="s">
        <v>1121</v>
      </c>
      <c r="I1729" s="186"/>
      <c r="J1729" s="186"/>
      <c r="K1729" s="185"/>
      <c r="L1729" s="186"/>
      <c r="M1729" s="36">
        <v>68285000</v>
      </c>
      <c r="N1729" s="37" t="s">
        <v>34</v>
      </c>
      <c r="O1729" s="37"/>
      <c r="P1729" s="47" t="str">
        <f>IF(AND('331-CT'!$F$5=TH!H1729,OR(N1729="331",O1729="331")),"x","")</f>
        <v/>
      </c>
      <c r="Q1729" s="47" t="str">
        <f>IF(AND(B1729='111'!$L$11,OR($N1729=$Q$7,$O1729=$Q$7)),"x","")</f>
        <v/>
      </c>
      <c r="R1729" s="47" t="str">
        <f>IF(AND($N1729=$Q$7,$B1729&lt;'111'!$L$11),"x","")</f>
        <v>x</v>
      </c>
      <c r="S1729" s="47" t="str">
        <f>IF(AND($O1729=$Q$7,$B1729&lt;'111'!$L$11),"x","")</f>
        <v/>
      </c>
    </row>
    <row r="1730" spans="1:19" ht="15.75" customHeight="1">
      <c r="A1730" s="152" t="str">
        <f>IF(B1730&lt;&gt;"",IF(AND(B1730='IN-TC'!$S$4,OR(TH!N1730="1111",TH!O1730="1111")),TH!D1730,""),"")</f>
        <v>C45</v>
      </c>
      <c r="B1730" s="34">
        <f t="shared" si="60"/>
        <v>10</v>
      </c>
      <c r="C1730" s="35">
        <f t="shared" si="61"/>
        <v>42651</v>
      </c>
      <c r="D1730" s="212" t="s">
        <v>904</v>
      </c>
      <c r="E1730" s="35">
        <v>42651</v>
      </c>
      <c r="F1730" s="144" t="s">
        <v>1306</v>
      </c>
      <c r="G1730" s="191"/>
      <c r="H1730" s="198"/>
      <c r="I1730" s="186"/>
      <c r="J1730" s="186"/>
      <c r="K1730" s="185"/>
      <c r="L1730" s="186"/>
      <c r="M1730" s="36">
        <v>1863000</v>
      </c>
      <c r="N1730" s="37"/>
      <c r="O1730" s="37" t="s">
        <v>34</v>
      </c>
      <c r="P1730" s="47" t="str">
        <f>IF(AND('331-CT'!$F$5=TH!H1730,OR(N1730="331",O1730="331")),"x","")</f>
        <v/>
      </c>
      <c r="Q1730" s="47" t="str">
        <f>IF(AND(B1730='111'!$L$11,OR($N1730=$Q$7,$O1730=$Q$7)),"x","")</f>
        <v/>
      </c>
      <c r="R1730" s="47" t="str">
        <f>IF(AND($N1730=$Q$7,$B1730&lt;'111'!$L$11),"x","")</f>
        <v/>
      </c>
      <c r="S1730" s="47" t="str">
        <f>IF(AND($O1730=$Q$7,$B1730&lt;'111'!$L$11),"x","")</f>
        <v>x</v>
      </c>
    </row>
    <row r="1731" spans="1:19" ht="15.75" customHeight="1">
      <c r="A1731" s="152" t="str">
        <f>IF(B1731&lt;&gt;"",IF(AND(B1731='IN-TC'!$S$4,OR(TH!N1731="1111",TH!O1731="1111")),TH!D1731,""),"")</f>
        <v>C46</v>
      </c>
      <c r="B1731" s="34">
        <f t="shared" si="60"/>
        <v>10</v>
      </c>
      <c r="C1731" s="35">
        <f t="shared" si="61"/>
        <v>42651</v>
      </c>
      <c r="D1731" s="212" t="s">
        <v>905</v>
      </c>
      <c r="E1731" s="35">
        <v>42651</v>
      </c>
      <c r="F1731" s="144" t="s">
        <v>1307</v>
      </c>
      <c r="G1731" s="191" t="s">
        <v>206</v>
      </c>
      <c r="H1731" s="198" t="s">
        <v>836</v>
      </c>
      <c r="I1731" s="186"/>
      <c r="J1731" s="186"/>
      <c r="K1731" s="185"/>
      <c r="L1731" s="186"/>
      <c r="M1731" s="36">
        <v>110682000</v>
      </c>
      <c r="N1731" s="37"/>
      <c r="O1731" s="37" t="s">
        <v>34</v>
      </c>
      <c r="P1731" s="47" t="str">
        <f>IF(AND('331-CT'!$F$5=TH!H1731,OR(N1731="331",O1731="331")),"x","")</f>
        <v/>
      </c>
      <c r="Q1731" s="47" t="str">
        <f>IF(AND(B1731='111'!$L$11,OR($N1731=$Q$7,$O1731=$Q$7)),"x","")</f>
        <v/>
      </c>
      <c r="R1731" s="47" t="str">
        <f>IF(AND($N1731=$Q$7,$B1731&lt;'111'!$L$11),"x","")</f>
        <v/>
      </c>
      <c r="S1731" s="47" t="str">
        <f>IF(AND($O1731=$Q$7,$B1731&lt;'111'!$L$11),"x","")</f>
        <v>x</v>
      </c>
    </row>
    <row r="1732" spans="1:19" ht="15.75" customHeight="1">
      <c r="A1732" s="152" t="str">
        <f>IF(B1732&lt;&gt;"",IF(AND(B1732='IN-TC'!$S$4,OR(TH!N1732="1111",TH!O1732="1111")),TH!D1732,""),"")</f>
        <v>C47</v>
      </c>
      <c r="B1732" s="34">
        <f t="shared" si="60"/>
        <v>10</v>
      </c>
      <c r="C1732" s="35">
        <f t="shared" si="61"/>
        <v>42651</v>
      </c>
      <c r="D1732" s="212" t="s">
        <v>906</v>
      </c>
      <c r="E1732" s="35">
        <v>42651</v>
      </c>
      <c r="F1732" s="144" t="s">
        <v>671</v>
      </c>
      <c r="G1732" s="191" t="s">
        <v>207</v>
      </c>
      <c r="H1732" s="198"/>
      <c r="I1732" s="186"/>
      <c r="J1732" s="186"/>
      <c r="K1732" s="185"/>
      <c r="L1732" s="186"/>
      <c r="M1732" s="36">
        <v>500000</v>
      </c>
      <c r="N1732" s="37"/>
      <c r="O1732" s="37" t="s">
        <v>34</v>
      </c>
      <c r="P1732" s="47" t="str">
        <f>IF(AND('331-CT'!$F$5=TH!H1732,OR(N1732="331",O1732="331")),"x","")</f>
        <v/>
      </c>
      <c r="Q1732" s="47" t="str">
        <f>IF(AND(B1732='111'!$L$11,OR($N1732=$Q$7,$O1732=$Q$7)),"x","")</f>
        <v/>
      </c>
      <c r="R1732" s="47" t="str">
        <f>IF(AND($N1732=$Q$7,$B1732&lt;'111'!$L$11),"x","")</f>
        <v/>
      </c>
      <c r="S1732" s="47" t="str">
        <f>IF(AND($O1732=$Q$7,$B1732&lt;'111'!$L$11),"x","")</f>
        <v>x</v>
      </c>
    </row>
    <row r="1733" spans="1:19" ht="15.75" customHeight="1">
      <c r="A1733" s="152" t="str">
        <f>IF(B1733&lt;&gt;"",IF(AND(B1733='IN-TC'!$S$4,OR(TH!N1733="1111",TH!O1733="1111")),TH!D1733,""),"")</f>
        <v>T09</v>
      </c>
      <c r="B1733" s="34">
        <f t="shared" si="60"/>
        <v>10</v>
      </c>
      <c r="C1733" s="35">
        <f t="shared" si="61"/>
        <v>42651</v>
      </c>
      <c r="D1733" s="212" t="s">
        <v>1013</v>
      </c>
      <c r="E1733" s="35">
        <v>42651</v>
      </c>
      <c r="F1733" s="144" t="s">
        <v>1192</v>
      </c>
      <c r="G1733" s="191" t="s">
        <v>104</v>
      </c>
      <c r="H1733" s="198"/>
      <c r="I1733" s="186"/>
      <c r="J1733" s="186"/>
      <c r="K1733" s="185"/>
      <c r="L1733" s="186"/>
      <c r="M1733" s="36">
        <v>2100000000</v>
      </c>
      <c r="N1733" s="37" t="s">
        <v>34</v>
      </c>
      <c r="O1733" s="37"/>
      <c r="P1733" s="47" t="str">
        <f>IF(AND('331-CT'!$F$5=TH!H1733,OR(N1733="331",O1733="331")),"x","")</f>
        <v/>
      </c>
      <c r="Q1733" s="47" t="str">
        <f>IF(AND(B1733='111'!$L$11,OR($N1733=$Q$7,$O1733=$Q$7)),"x","")</f>
        <v/>
      </c>
      <c r="R1733" s="47" t="str">
        <f>IF(AND($N1733=$Q$7,$B1733&lt;'111'!$L$11),"x","")</f>
        <v>x</v>
      </c>
      <c r="S1733" s="47" t="str">
        <f>IF(AND($O1733=$Q$7,$B1733&lt;'111'!$L$11),"x","")</f>
        <v/>
      </c>
    </row>
    <row r="1734" spans="1:19" ht="15.75" customHeight="1">
      <c r="A1734" s="152" t="str">
        <f>IF(B1734&lt;&gt;"",IF(AND(B1734='IN-TC'!$S$4,OR(TH!N1734="1111",TH!O1734="1111")),TH!D1734,""),"")</f>
        <v>C48</v>
      </c>
      <c r="B1734" s="34">
        <f t="shared" si="60"/>
        <v>10</v>
      </c>
      <c r="C1734" s="35">
        <f t="shared" si="61"/>
        <v>42651</v>
      </c>
      <c r="D1734" s="212" t="s">
        <v>907</v>
      </c>
      <c r="E1734" s="35">
        <v>42651</v>
      </c>
      <c r="F1734" s="144" t="s">
        <v>1344</v>
      </c>
      <c r="G1734" s="191" t="s">
        <v>206</v>
      </c>
      <c r="H1734" s="198" t="s">
        <v>1421</v>
      </c>
      <c r="I1734" s="186"/>
      <c r="J1734" s="186"/>
      <c r="K1734" s="185"/>
      <c r="L1734" s="186"/>
      <c r="M1734" s="36">
        <v>200000000</v>
      </c>
      <c r="N1734" s="37" t="s">
        <v>8</v>
      </c>
      <c r="O1734" s="37" t="s">
        <v>34</v>
      </c>
      <c r="P1734" s="47" t="str">
        <f>IF(AND('331-CT'!$F$5=TH!H1734,OR(N1734="331",O1734="331")),"x","")</f>
        <v/>
      </c>
      <c r="Q1734" s="47" t="str">
        <f>IF(AND(B1734='111'!$L$11,OR($N1734=$Q$7,$O1734=$Q$7)),"x","")</f>
        <v/>
      </c>
      <c r="R1734" s="47" t="str">
        <f>IF(AND($N1734=$Q$7,$B1734&lt;'111'!$L$11),"x","")</f>
        <v/>
      </c>
      <c r="S1734" s="47" t="str">
        <f>IF(AND($O1734=$Q$7,$B1734&lt;'111'!$L$11),"x","")</f>
        <v>x</v>
      </c>
    </row>
    <row r="1735" spans="1:19" ht="15.75" customHeight="1">
      <c r="A1735" s="152" t="str">
        <f>IF(B1735&lt;&gt;"",IF(AND(B1735='IN-TC'!$S$4,OR(TH!N1735="1111",TH!O1735="1111")),TH!D1735,""),"")</f>
        <v>C49</v>
      </c>
      <c r="B1735" s="34">
        <f t="shared" si="60"/>
        <v>10</v>
      </c>
      <c r="C1735" s="35">
        <f t="shared" si="61"/>
        <v>42651</v>
      </c>
      <c r="D1735" s="212" t="s">
        <v>908</v>
      </c>
      <c r="E1735" s="35">
        <v>42651</v>
      </c>
      <c r="F1735" s="144" t="s">
        <v>1308</v>
      </c>
      <c r="G1735" s="38" t="s">
        <v>203</v>
      </c>
      <c r="H1735" s="198" t="s">
        <v>1413</v>
      </c>
      <c r="I1735" s="186"/>
      <c r="J1735" s="186"/>
      <c r="K1735" s="185"/>
      <c r="L1735" s="186"/>
      <c r="M1735" s="36">
        <v>18000000</v>
      </c>
      <c r="N1735" s="37" t="s">
        <v>814</v>
      </c>
      <c r="O1735" s="37" t="s">
        <v>34</v>
      </c>
      <c r="P1735" s="47" t="str">
        <f>IF(AND('331-CT'!$F$5=TH!H1735,OR(N1735="331",O1735="331")),"x","")</f>
        <v/>
      </c>
      <c r="Q1735" s="47" t="str">
        <f>IF(AND(B1735='111'!$L$11,OR($N1735=$Q$7,$O1735=$Q$7)),"x","")</f>
        <v/>
      </c>
      <c r="R1735" s="47" t="str">
        <f>IF(AND($N1735=$Q$7,$B1735&lt;'111'!$L$11),"x","")</f>
        <v/>
      </c>
      <c r="S1735" s="47" t="str">
        <f>IF(AND($O1735=$Q$7,$B1735&lt;'111'!$L$11),"x","")</f>
        <v>x</v>
      </c>
    </row>
    <row r="1736" spans="1:19" ht="15.75" customHeight="1">
      <c r="A1736" s="152" t="str">
        <f>IF(B1736&lt;&gt;"",IF(AND(B1736='IN-TC'!$S$4,OR(TH!N1736="1111",TH!O1736="1111")),TH!D1736,""),"")</f>
        <v>C50</v>
      </c>
      <c r="B1736" s="34">
        <f t="shared" si="60"/>
        <v>10</v>
      </c>
      <c r="C1736" s="35">
        <f t="shared" si="61"/>
        <v>42651</v>
      </c>
      <c r="D1736" s="212" t="s">
        <v>909</v>
      </c>
      <c r="E1736" s="35">
        <v>42651</v>
      </c>
      <c r="F1736" s="144" t="s">
        <v>346</v>
      </c>
      <c r="G1736" s="191" t="s">
        <v>105</v>
      </c>
      <c r="H1736" s="198" t="s">
        <v>1434</v>
      </c>
      <c r="I1736" s="186"/>
      <c r="J1736" s="186"/>
      <c r="K1736" s="185"/>
      <c r="L1736" s="186"/>
      <c r="M1736" s="36">
        <v>104000000</v>
      </c>
      <c r="N1736" s="37" t="s">
        <v>812</v>
      </c>
      <c r="O1736" s="37" t="s">
        <v>34</v>
      </c>
      <c r="P1736" s="47" t="str">
        <f>IF(AND('331-CT'!$F$5=TH!H1736,OR(N1736="331",O1736="331")),"x","")</f>
        <v/>
      </c>
      <c r="Q1736" s="47" t="str">
        <f>IF(AND(B1736='111'!$L$11,OR($N1736=$Q$7,$O1736=$Q$7)),"x","")</f>
        <v/>
      </c>
      <c r="R1736" s="47" t="str">
        <f>IF(AND($N1736=$Q$7,$B1736&lt;'111'!$L$11),"x","")</f>
        <v/>
      </c>
      <c r="S1736" s="47" t="str">
        <f>IF(AND($O1736=$Q$7,$B1736&lt;'111'!$L$11),"x","")</f>
        <v>x</v>
      </c>
    </row>
    <row r="1737" spans="1:19" ht="15.75" customHeight="1">
      <c r="A1737" s="152" t="str">
        <f>IF(B1737&lt;&gt;"",IF(AND(B1737='IN-TC'!$S$4,OR(TH!N1737="1111",TH!O1737="1111")),TH!D1737,""),"")</f>
        <v>T10</v>
      </c>
      <c r="B1737" s="34">
        <f t="shared" si="60"/>
        <v>10</v>
      </c>
      <c r="C1737" s="35">
        <f t="shared" si="61"/>
        <v>42651</v>
      </c>
      <c r="D1737" s="212" t="s">
        <v>1014</v>
      </c>
      <c r="E1737" s="35">
        <v>42651</v>
      </c>
      <c r="F1737" s="144" t="s">
        <v>1309</v>
      </c>
      <c r="G1737" s="191" t="s">
        <v>110</v>
      </c>
      <c r="H1737" s="198"/>
      <c r="I1737" s="186"/>
      <c r="J1737" s="186"/>
      <c r="K1737" s="185"/>
      <c r="L1737" s="186"/>
      <c r="M1737" s="36">
        <v>1000000</v>
      </c>
      <c r="N1737" s="37" t="s">
        <v>34</v>
      </c>
      <c r="O1737" s="37"/>
      <c r="P1737" s="47" t="str">
        <f>IF(AND('331-CT'!$F$5=TH!H1737,OR(N1737="331",O1737="331")),"x","")</f>
        <v/>
      </c>
      <c r="Q1737" s="47" t="str">
        <f>IF(AND(B1737='111'!$L$11,OR($N1737=$Q$7,$O1737=$Q$7)),"x","")</f>
        <v/>
      </c>
      <c r="R1737" s="47" t="str">
        <f>IF(AND($N1737=$Q$7,$B1737&lt;'111'!$L$11),"x","")</f>
        <v>x</v>
      </c>
      <c r="S1737" s="47" t="str">
        <f>IF(AND($O1737=$Q$7,$B1737&lt;'111'!$L$11),"x","")</f>
        <v/>
      </c>
    </row>
    <row r="1738" spans="1:19" ht="15.75" customHeight="1">
      <c r="A1738" s="152" t="str">
        <f>IF(B1738&lt;&gt;"",IF(AND(B1738='IN-TC'!$S$4,OR(TH!N1738="1111",TH!O1738="1111")),TH!D1738,""),"")</f>
        <v>C51</v>
      </c>
      <c r="B1738" s="34">
        <f t="shared" si="60"/>
        <v>10</v>
      </c>
      <c r="C1738" s="35">
        <f t="shared" si="61"/>
        <v>42651</v>
      </c>
      <c r="D1738" s="212" t="s">
        <v>910</v>
      </c>
      <c r="E1738" s="35">
        <v>42651</v>
      </c>
      <c r="F1738" s="144" t="s">
        <v>1310</v>
      </c>
      <c r="G1738" s="191"/>
      <c r="H1738" s="198"/>
      <c r="I1738" s="186"/>
      <c r="J1738" s="186"/>
      <c r="K1738" s="185"/>
      <c r="L1738" s="186"/>
      <c r="M1738" s="36">
        <v>1040000</v>
      </c>
      <c r="N1738" s="37"/>
      <c r="O1738" s="37" t="s">
        <v>34</v>
      </c>
      <c r="P1738" s="47" t="str">
        <f>IF(AND('331-CT'!$F$5=TH!H1738,OR(N1738="331",O1738="331")),"x","")</f>
        <v/>
      </c>
      <c r="Q1738" s="47" t="str">
        <f>IF(AND(B1738='111'!$L$11,OR($N1738=$Q$7,$O1738=$Q$7)),"x","")</f>
        <v/>
      </c>
      <c r="R1738" s="47" t="str">
        <f>IF(AND($N1738=$Q$7,$B1738&lt;'111'!$L$11),"x","")</f>
        <v/>
      </c>
      <c r="S1738" s="47" t="str">
        <f>IF(AND($O1738=$Q$7,$B1738&lt;'111'!$L$11),"x","")</f>
        <v>x</v>
      </c>
    </row>
    <row r="1739" spans="1:19" ht="15.75" customHeight="1">
      <c r="A1739" s="152" t="str">
        <f>IF(B1739&lt;&gt;"",IF(AND(B1739='IN-TC'!$S$4,OR(TH!N1739="1111",TH!O1739="1111")),TH!D1739,""),"")</f>
        <v>C52</v>
      </c>
      <c r="B1739" s="34">
        <f t="shared" si="60"/>
        <v>10</v>
      </c>
      <c r="C1739" s="35">
        <f t="shared" si="61"/>
        <v>42651</v>
      </c>
      <c r="D1739" s="212" t="s">
        <v>911</v>
      </c>
      <c r="E1739" s="35">
        <v>42651</v>
      </c>
      <c r="F1739" s="144" t="s">
        <v>1311</v>
      </c>
      <c r="G1739" s="191" t="s">
        <v>110</v>
      </c>
      <c r="H1739" s="198"/>
      <c r="I1739" s="186"/>
      <c r="J1739" s="186"/>
      <c r="K1739" s="185"/>
      <c r="L1739" s="186"/>
      <c r="M1739" s="36">
        <v>1500000</v>
      </c>
      <c r="N1739" s="37"/>
      <c r="O1739" s="37" t="s">
        <v>34</v>
      </c>
      <c r="P1739" s="47" t="str">
        <f>IF(AND('331-CT'!$F$5=TH!H1739,OR(N1739="331",O1739="331")),"x","")</f>
        <v/>
      </c>
      <c r="Q1739" s="47" t="str">
        <f>IF(AND(B1739='111'!$L$11,OR($N1739=$Q$7,$O1739=$Q$7)),"x","")</f>
        <v/>
      </c>
      <c r="R1739" s="47" t="str">
        <f>IF(AND($N1739=$Q$7,$B1739&lt;'111'!$L$11),"x","")</f>
        <v/>
      </c>
      <c r="S1739" s="47" t="str">
        <f>IF(AND($O1739=$Q$7,$B1739&lt;'111'!$L$11),"x","")</f>
        <v>x</v>
      </c>
    </row>
    <row r="1740" spans="1:19" ht="15.75" customHeight="1">
      <c r="A1740" s="152" t="str">
        <f>IF(B1740&lt;&gt;"",IF(AND(B1740='IN-TC'!$S$4,OR(TH!N1740="1111",TH!O1740="1111")),TH!D1740,""),"")</f>
        <v>C53</v>
      </c>
      <c r="B1740" s="34">
        <f t="shared" si="60"/>
        <v>10</v>
      </c>
      <c r="C1740" s="35">
        <f t="shared" si="61"/>
        <v>42651</v>
      </c>
      <c r="D1740" s="212" t="s">
        <v>912</v>
      </c>
      <c r="E1740" s="35">
        <v>42651</v>
      </c>
      <c r="F1740" s="144" t="s">
        <v>1312</v>
      </c>
      <c r="G1740" s="191" t="s">
        <v>207</v>
      </c>
      <c r="H1740" s="198"/>
      <c r="I1740" s="186"/>
      <c r="J1740" s="186"/>
      <c r="K1740" s="185"/>
      <c r="L1740" s="186"/>
      <c r="M1740" s="36">
        <v>290000</v>
      </c>
      <c r="N1740" s="37"/>
      <c r="O1740" s="37" t="s">
        <v>34</v>
      </c>
      <c r="P1740" s="47" t="str">
        <f>IF(AND('331-CT'!$F$5=TH!H1740,OR(N1740="331",O1740="331")),"x","")</f>
        <v/>
      </c>
      <c r="Q1740" s="47" t="str">
        <f>IF(AND(B1740='111'!$L$11,OR($N1740=$Q$7,$O1740=$Q$7)),"x","")</f>
        <v/>
      </c>
      <c r="R1740" s="47" t="str">
        <f>IF(AND($N1740=$Q$7,$B1740&lt;'111'!$L$11),"x","")</f>
        <v/>
      </c>
      <c r="S1740" s="47" t="str">
        <f>IF(AND($O1740=$Q$7,$B1740&lt;'111'!$L$11),"x","")</f>
        <v>x</v>
      </c>
    </row>
    <row r="1741" spans="1:19" ht="15.75" customHeight="1">
      <c r="A1741" s="152" t="str">
        <f>IF(B1741&lt;&gt;"",IF(AND(B1741='IN-TC'!$S$4,OR(TH!N1741="1111",TH!O1741="1111")),TH!D1741,""),"")</f>
        <v>C54</v>
      </c>
      <c r="B1741" s="34">
        <f t="shared" ref="B1741:B1804" si="62">IF(C1741&lt;&gt;"",MONTH(C1741),"")</f>
        <v>10</v>
      </c>
      <c r="C1741" s="35">
        <f t="shared" ref="C1741:C1804" si="63">E1741</f>
        <v>42651</v>
      </c>
      <c r="D1741" s="212" t="s">
        <v>913</v>
      </c>
      <c r="E1741" s="35">
        <v>42651</v>
      </c>
      <c r="F1741" s="144" t="s">
        <v>1313</v>
      </c>
      <c r="G1741" s="191" t="s">
        <v>110</v>
      </c>
      <c r="H1741" s="198"/>
      <c r="I1741" s="186"/>
      <c r="J1741" s="186"/>
      <c r="K1741" s="185"/>
      <c r="L1741" s="186"/>
      <c r="M1741" s="36">
        <v>2000000</v>
      </c>
      <c r="N1741" s="37"/>
      <c r="O1741" s="37" t="s">
        <v>34</v>
      </c>
      <c r="P1741" s="47" t="str">
        <f>IF(AND('331-CT'!$F$5=TH!H1741,OR(N1741="331",O1741="331")),"x","")</f>
        <v/>
      </c>
      <c r="Q1741" s="47" t="str">
        <f>IF(AND(B1741='111'!$L$11,OR($N1741=$Q$7,$O1741=$Q$7)),"x","")</f>
        <v/>
      </c>
      <c r="R1741" s="47" t="str">
        <f>IF(AND($N1741=$Q$7,$B1741&lt;'111'!$L$11),"x","")</f>
        <v/>
      </c>
      <c r="S1741" s="47" t="str">
        <f>IF(AND($O1741=$Q$7,$B1741&lt;'111'!$L$11),"x","")</f>
        <v>x</v>
      </c>
    </row>
    <row r="1742" spans="1:19" ht="15.75" customHeight="1">
      <c r="A1742" s="152" t="str">
        <f>IF(B1742&lt;&gt;"",IF(AND(B1742='IN-TC'!$S$4,OR(TH!N1742="1111",TH!O1742="1111")),TH!D1742,""),"")</f>
        <v>C55</v>
      </c>
      <c r="B1742" s="34">
        <f t="shared" si="62"/>
        <v>10</v>
      </c>
      <c r="C1742" s="35">
        <f t="shared" si="63"/>
        <v>42651</v>
      </c>
      <c r="D1742" s="212" t="s">
        <v>914</v>
      </c>
      <c r="E1742" s="35">
        <v>42651</v>
      </c>
      <c r="F1742" s="144" t="s">
        <v>1314</v>
      </c>
      <c r="G1742" s="191" t="s">
        <v>213</v>
      </c>
      <c r="H1742" s="198" t="s">
        <v>1427</v>
      </c>
      <c r="I1742" s="186"/>
      <c r="J1742" s="186"/>
      <c r="K1742" s="185"/>
      <c r="L1742" s="186"/>
      <c r="M1742" s="36">
        <v>200000000</v>
      </c>
      <c r="N1742" s="37"/>
      <c r="O1742" s="37" t="s">
        <v>34</v>
      </c>
      <c r="P1742" s="47" t="str">
        <f>IF(AND('331-CT'!$F$5=TH!H1742,OR(N1742="331",O1742="331")),"x","")</f>
        <v/>
      </c>
      <c r="Q1742" s="47" t="str">
        <f>IF(AND(B1742='111'!$L$11,OR($N1742=$Q$7,$O1742=$Q$7)),"x","")</f>
        <v/>
      </c>
      <c r="R1742" s="47" t="str">
        <f>IF(AND($N1742=$Q$7,$B1742&lt;'111'!$L$11),"x","")</f>
        <v/>
      </c>
      <c r="S1742" s="47" t="str">
        <f>IF(AND($O1742=$Q$7,$B1742&lt;'111'!$L$11),"x","")</f>
        <v>x</v>
      </c>
    </row>
    <row r="1743" spans="1:19" ht="15.75" customHeight="1">
      <c r="A1743" s="152" t="str">
        <f>IF(B1743&lt;&gt;"",IF(AND(B1743='IN-TC'!$S$4,OR(TH!N1743="1111",TH!O1743="1111")),TH!D1743,""),"")</f>
        <v/>
      </c>
      <c r="B1743" s="34">
        <f t="shared" si="62"/>
        <v>10</v>
      </c>
      <c r="C1743" s="35">
        <f t="shared" si="63"/>
        <v>42651</v>
      </c>
      <c r="D1743" s="212"/>
      <c r="E1743" s="35">
        <v>42651</v>
      </c>
      <c r="F1743" s="144" t="s">
        <v>1441</v>
      </c>
      <c r="G1743" s="191" t="s">
        <v>1454</v>
      </c>
      <c r="H1743" s="198" t="s">
        <v>849</v>
      </c>
      <c r="I1743" s="186">
        <v>645</v>
      </c>
      <c r="J1743" s="186">
        <v>102000</v>
      </c>
      <c r="K1743" s="185"/>
      <c r="L1743" s="186"/>
      <c r="M1743" s="36">
        <f>ROUND(I1743*J1743,0)</f>
        <v>65790000</v>
      </c>
      <c r="N1743" s="37" t="s">
        <v>1443</v>
      </c>
      <c r="O1743" s="37" t="s">
        <v>8</v>
      </c>
      <c r="P1743" s="47" t="str">
        <f>IF(AND('331-CT'!$F$5=TH!H1743,OR(N1743="331",O1743="331")),"x","")</f>
        <v/>
      </c>
      <c r="Q1743" s="47" t="str">
        <f>IF(AND(B1743='111'!$L$11,OR($N1743=$Q$7,$O1743=$Q$7)),"x","")</f>
        <v/>
      </c>
      <c r="R1743" s="47" t="str">
        <f>IF(AND($N1743=$Q$7,$B1743&lt;'111'!$L$11),"x","")</f>
        <v/>
      </c>
      <c r="S1743" s="47" t="str">
        <f>IF(AND($O1743=$Q$7,$B1743&lt;'111'!$L$11),"x","")</f>
        <v/>
      </c>
    </row>
    <row r="1744" spans="1:19" ht="15.75" customHeight="1">
      <c r="A1744" s="152" t="str">
        <f>IF(B1744&lt;&gt;"",IF(AND(B1744='IN-TC'!$S$4,OR(TH!N1744="1111",TH!O1744="1111")),TH!D1744,""),"")</f>
        <v/>
      </c>
      <c r="B1744" s="34">
        <f t="shared" si="62"/>
        <v>10</v>
      </c>
      <c r="C1744" s="35">
        <f t="shared" si="63"/>
        <v>42651</v>
      </c>
      <c r="D1744" s="212"/>
      <c r="E1744" s="35">
        <v>42651</v>
      </c>
      <c r="F1744" s="144" t="s">
        <v>1450</v>
      </c>
      <c r="G1744" s="191" t="s">
        <v>1454</v>
      </c>
      <c r="H1744" s="198" t="s">
        <v>849</v>
      </c>
      <c r="I1744" s="186">
        <v>4680</v>
      </c>
      <c r="J1744" s="186">
        <v>61000</v>
      </c>
      <c r="K1744" s="185"/>
      <c r="L1744" s="186"/>
      <c r="M1744" s="36">
        <f>ROUND(I1744*J1744,0)</f>
        <v>285480000</v>
      </c>
      <c r="N1744" s="37" t="s">
        <v>1443</v>
      </c>
      <c r="O1744" s="37" t="s">
        <v>8</v>
      </c>
      <c r="P1744" s="47" t="str">
        <f>IF(AND('331-CT'!$F$5=TH!H1744,OR(N1744="331",O1744="331")),"x","")</f>
        <v/>
      </c>
      <c r="Q1744" s="47" t="str">
        <f>IF(AND(B1744='111'!$L$11,OR($N1744=$Q$7,$O1744=$Q$7)),"x","")</f>
        <v/>
      </c>
      <c r="R1744" s="47" t="str">
        <f>IF(AND($N1744=$Q$7,$B1744&lt;'111'!$L$11),"x","")</f>
        <v/>
      </c>
      <c r="S1744" s="47" t="str">
        <f>IF(AND($O1744=$Q$7,$B1744&lt;'111'!$L$11),"x","")</f>
        <v/>
      </c>
    </row>
    <row r="1745" spans="1:19" ht="15.75" customHeight="1">
      <c r="A1745" s="152" t="str">
        <f>IF(B1745&lt;&gt;"",IF(AND(B1745='IN-TC'!$S$4,OR(TH!N1745="1111",TH!O1745="1111")),TH!D1745,""),"")</f>
        <v/>
      </c>
      <c r="B1745" s="34">
        <f t="shared" si="62"/>
        <v>10</v>
      </c>
      <c r="C1745" s="35">
        <f t="shared" si="63"/>
        <v>42651</v>
      </c>
      <c r="D1745" s="212"/>
      <c r="E1745" s="35">
        <v>42651</v>
      </c>
      <c r="F1745" s="144" t="s">
        <v>1450</v>
      </c>
      <c r="G1745" s="191" t="s">
        <v>204</v>
      </c>
      <c r="H1745" s="198" t="s">
        <v>849</v>
      </c>
      <c r="I1745" s="186">
        <v>10280</v>
      </c>
      <c r="J1745" s="186">
        <v>61000</v>
      </c>
      <c r="K1745" s="185"/>
      <c r="L1745" s="186"/>
      <c r="M1745" s="36">
        <f>ROUND(I1745*J1745,0)</f>
        <v>627080000</v>
      </c>
      <c r="N1745" s="37" t="s">
        <v>1443</v>
      </c>
      <c r="O1745" s="37" t="s">
        <v>8</v>
      </c>
      <c r="P1745" s="47" t="str">
        <f>IF(AND('331-CT'!$F$5=TH!H1745,OR(N1745="331",O1745="331")),"x","")</f>
        <v/>
      </c>
      <c r="Q1745" s="47" t="str">
        <f>IF(AND(B1745='111'!$L$11,OR($N1745=$Q$7,$O1745=$Q$7)),"x","")</f>
        <v/>
      </c>
      <c r="R1745" s="47" t="str">
        <f>IF(AND($N1745=$Q$7,$B1745&lt;'111'!$L$11),"x","")</f>
        <v/>
      </c>
      <c r="S1745" s="47" t="str">
        <f>IF(AND($O1745=$Q$7,$B1745&lt;'111'!$L$11),"x","")</f>
        <v/>
      </c>
    </row>
    <row r="1746" spans="1:19" ht="15.75" customHeight="1">
      <c r="A1746" s="152" t="str">
        <f>IF(B1746&lt;&gt;"",IF(AND(B1746='IN-TC'!$S$4,OR(TH!N1746="1111",TH!O1746="1111")),TH!D1746,""),"")</f>
        <v/>
      </c>
      <c r="B1746" s="34">
        <f t="shared" si="62"/>
        <v>10</v>
      </c>
      <c r="C1746" s="35">
        <f t="shared" si="63"/>
        <v>42651</v>
      </c>
      <c r="D1746" s="212"/>
      <c r="E1746" s="35">
        <v>42651</v>
      </c>
      <c r="F1746" s="144" t="s">
        <v>1449</v>
      </c>
      <c r="G1746" s="191" t="s">
        <v>204</v>
      </c>
      <c r="H1746" s="7" t="s">
        <v>851</v>
      </c>
      <c r="I1746" s="186">
        <v>3388</v>
      </c>
      <c r="J1746" s="186">
        <v>50000</v>
      </c>
      <c r="K1746" s="185"/>
      <c r="L1746" s="186"/>
      <c r="M1746" s="36">
        <f>ROUND(I1746*J1746,0)</f>
        <v>169400000</v>
      </c>
      <c r="N1746" s="37" t="s">
        <v>1443</v>
      </c>
      <c r="O1746" s="37" t="s">
        <v>8</v>
      </c>
      <c r="P1746" s="47" t="str">
        <f>IF(AND('331-CT'!$F$5=TH!H1746,OR(N1746="331",O1746="331")),"x","")</f>
        <v/>
      </c>
      <c r="Q1746" s="47" t="str">
        <f>IF(AND(B1746='111'!$L$11,OR($N1746=$Q$7,$O1746=$Q$7)),"x","")</f>
        <v/>
      </c>
      <c r="R1746" s="47" t="str">
        <f>IF(AND($N1746=$Q$7,$B1746&lt;'111'!$L$11),"x","")</f>
        <v/>
      </c>
      <c r="S1746" s="47" t="str">
        <f>IF(AND($O1746=$Q$7,$B1746&lt;'111'!$L$11),"x","")</f>
        <v/>
      </c>
    </row>
    <row r="1747" spans="1:19" ht="15.75" customHeight="1">
      <c r="A1747" s="152" t="str">
        <f>IF(B1747&lt;&gt;"",IF(AND(B1747='IN-TC'!$S$4,OR(TH!N1747="1111",TH!O1747="1111")),TH!D1747,""),"")</f>
        <v/>
      </c>
      <c r="B1747" s="34">
        <f t="shared" si="62"/>
        <v>10</v>
      </c>
      <c r="C1747" s="35">
        <f t="shared" si="63"/>
        <v>42651</v>
      </c>
      <c r="D1747" s="212"/>
      <c r="E1747" s="35">
        <v>42651</v>
      </c>
      <c r="F1747" s="144" t="s">
        <v>1451</v>
      </c>
      <c r="G1747" s="191"/>
      <c r="H1747" s="198" t="s">
        <v>1419</v>
      </c>
      <c r="I1747" s="186">
        <v>3065</v>
      </c>
      <c r="J1747" s="186">
        <v>12000</v>
      </c>
      <c r="K1747" s="185"/>
      <c r="L1747" s="186"/>
      <c r="M1747" s="36">
        <f>ROUND(I1747*J1747,-3)</f>
        <v>36780000</v>
      </c>
      <c r="N1747" s="37" t="s">
        <v>1443</v>
      </c>
      <c r="O1747" s="37" t="s">
        <v>8</v>
      </c>
      <c r="P1747" s="47" t="str">
        <f>IF(AND('331-CT'!$F$5=TH!H1747,OR(N1747="331",O1747="331")),"x","")</f>
        <v/>
      </c>
      <c r="Q1747" s="47" t="str">
        <f>IF(AND(B1747='111'!$L$11,OR($N1747=$Q$7,$O1747=$Q$7)),"x","")</f>
        <v/>
      </c>
      <c r="R1747" s="47" t="str">
        <f>IF(AND($N1747=$Q$7,$B1747&lt;'111'!$L$11),"x","")</f>
        <v/>
      </c>
      <c r="S1747" s="47" t="str">
        <f>IF(AND($O1747=$Q$7,$B1747&lt;'111'!$L$11),"x","")</f>
        <v/>
      </c>
    </row>
    <row r="1748" spans="1:19" ht="15.75" customHeight="1">
      <c r="A1748" s="152" t="str">
        <f>IF(B1748&lt;&gt;"",IF(AND(B1748='IN-TC'!$S$4,OR(TH!N1748="1111",TH!O1748="1111")),TH!D1748,""),"")</f>
        <v/>
      </c>
      <c r="B1748" s="34">
        <f t="shared" si="62"/>
        <v>10</v>
      </c>
      <c r="C1748" s="35">
        <f t="shared" si="63"/>
        <v>42651</v>
      </c>
      <c r="D1748" s="212"/>
      <c r="E1748" s="35">
        <v>42651</v>
      </c>
      <c r="F1748" s="144" t="s">
        <v>1523</v>
      </c>
      <c r="G1748" s="191"/>
      <c r="H1748" s="198" t="s">
        <v>1419</v>
      </c>
      <c r="I1748" s="186">
        <v>134</v>
      </c>
      <c r="J1748" s="186">
        <v>12000</v>
      </c>
      <c r="K1748" s="185"/>
      <c r="L1748" s="186"/>
      <c r="M1748" s="36">
        <f>ROUND(I1748*J1748,-3)</f>
        <v>1608000</v>
      </c>
      <c r="N1748" s="37" t="s">
        <v>1443</v>
      </c>
      <c r="O1748" s="37" t="s">
        <v>8</v>
      </c>
      <c r="P1748" s="47" t="str">
        <f>IF(AND('331-CT'!$F$5=TH!H1748,OR(N1748="331",O1748="331")),"x","")</f>
        <v/>
      </c>
      <c r="Q1748" s="47" t="str">
        <f>IF(AND(B1748='111'!$L$11,OR($N1748=$Q$7,$O1748=$Q$7)),"x","")</f>
        <v/>
      </c>
      <c r="R1748" s="47" t="str">
        <f>IF(AND($N1748=$Q$7,$B1748&lt;'111'!$L$11),"x","")</f>
        <v/>
      </c>
      <c r="S1748" s="47" t="str">
        <f>IF(AND($O1748=$Q$7,$B1748&lt;'111'!$L$11),"x","")</f>
        <v/>
      </c>
    </row>
    <row r="1749" spans="1:19" ht="15.75" customHeight="1">
      <c r="A1749" s="152" t="str">
        <f>IF(B1749&lt;&gt;"",IF(AND(B1749='IN-TC'!$S$4,OR(TH!N1749="1111",TH!O1749="1111")),TH!D1749,""),"")</f>
        <v/>
      </c>
      <c r="B1749" s="34">
        <f t="shared" si="62"/>
        <v>10</v>
      </c>
      <c r="C1749" s="35">
        <f t="shared" si="63"/>
        <v>42652</v>
      </c>
      <c r="D1749" s="212"/>
      <c r="E1749" s="35">
        <v>42652</v>
      </c>
      <c r="F1749" s="144" t="s">
        <v>1451</v>
      </c>
      <c r="G1749" s="191"/>
      <c r="H1749" s="198" t="s">
        <v>1421</v>
      </c>
      <c r="I1749" s="186">
        <v>12454.5</v>
      </c>
      <c r="J1749" s="186">
        <v>12000</v>
      </c>
      <c r="K1749" s="185"/>
      <c r="L1749" s="186"/>
      <c r="M1749" s="36">
        <f>ROUND(I1749*J1749,-3)</f>
        <v>149454000</v>
      </c>
      <c r="N1749" s="37" t="s">
        <v>1443</v>
      </c>
      <c r="O1749" s="37" t="s">
        <v>8</v>
      </c>
      <c r="P1749" s="47" t="str">
        <f>IF(AND('331-CT'!$F$5=TH!H1749,OR(N1749="331",O1749="331")),"x","")</f>
        <v/>
      </c>
      <c r="Q1749" s="47" t="str">
        <f>IF(AND(B1749='111'!$L$11,OR($N1749=$Q$7,$O1749=$Q$7)),"x","")</f>
        <v/>
      </c>
      <c r="R1749" s="47" t="str">
        <f>IF(AND($N1749=$Q$7,$B1749&lt;'111'!$L$11),"x","")</f>
        <v/>
      </c>
      <c r="S1749" s="47" t="str">
        <f>IF(AND($O1749=$Q$7,$B1749&lt;'111'!$L$11),"x","")</f>
        <v/>
      </c>
    </row>
    <row r="1750" spans="1:19" ht="15.75" customHeight="1">
      <c r="A1750" s="152" t="str">
        <f>IF(B1750&lt;&gt;"",IF(AND(B1750='IN-TC'!$S$4,OR(TH!N1750="1111",TH!O1750="1111")),TH!D1750,""),"")</f>
        <v>C56</v>
      </c>
      <c r="B1750" s="34">
        <f t="shared" si="62"/>
        <v>10</v>
      </c>
      <c r="C1750" s="35">
        <f t="shared" si="63"/>
        <v>42653</v>
      </c>
      <c r="D1750" s="212" t="s">
        <v>915</v>
      </c>
      <c r="E1750" s="35">
        <v>42653</v>
      </c>
      <c r="F1750" s="144" t="s">
        <v>1315</v>
      </c>
      <c r="G1750" s="191" t="s">
        <v>207</v>
      </c>
      <c r="H1750" s="198"/>
      <c r="I1750" s="186"/>
      <c r="J1750" s="186"/>
      <c r="K1750" s="185"/>
      <c r="L1750" s="186"/>
      <c r="M1750" s="36">
        <v>17000000</v>
      </c>
      <c r="N1750" s="37"/>
      <c r="O1750" s="37" t="s">
        <v>34</v>
      </c>
      <c r="P1750" s="47" t="str">
        <f>IF(AND('331-CT'!$F$5=TH!H1750,OR(N1750="331",O1750="331")),"x","")</f>
        <v/>
      </c>
      <c r="Q1750" s="47" t="str">
        <f>IF(AND(B1750='111'!$L$11,OR($N1750=$Q$7,$O1750=$Q$7)),"x","")</f>
        <v/>
      </c>
      <c r="R1750" s="47" t="str">
        <f>IF(AND($N1750=$Q$7,$B1750&lt;'111'!$L$11),"x","")</f>
        <v/>
      </c>
      <c r="S1750" s="47" t="str">
        <f>IF(AND($O1750=$Q$7,$B1750&lt;'111'!$L$11),"x","")</f>
        <v>x</v>
      </c>
    </row>
    <row r="1751" spans="1:19" ht="15.75" customHeight="1">
      <c r="A1751" s="152" t="str">
        <f>IF(B1751&lt;&gt;"",IF(AND(B1751='IN-TC'!$S$4,OR(TH!N1751="1111",TH!O1751="1111")),TH!D1751,""),"")</f>
        <v>C57</v>
      </c>
      <c r="B1751" s="34">
        <f t="shared" si="62"/>
        <v>10</v>
      </c>
      <c r="C1751" s="35">
        <f t="shared" si="63"/>
        <v>42653</v>
      </c>
      <c r="D1751" s="212" t="s">
        <v>916</v>
      </c>
      <c r="E1751" s="35">
        <v>42653</v>
      </c>
      <c r="F1751" s="144" t="s">
        <v>1184</v>
      </c>
      <c r="G1751" s="191"/>
      <c r="H1751" s="198"/>
      <c r="I1751" s="186"/>
      <c r="J1751" s="186"/>
      <c r="K1751" s="185"/>
      <c r="L1751" s="186"/>
      <c r="M1751" s="36">
        <v>212000</v>
      </c>
      <c r="N1751" s="37"/>
      <c r="O1751" s="37" t="s">
        <v>34</v>
      </c>
      <c r="P1751" s="47" t="str">
        <f>IF(AND('331-CT'!$F$5=TH!H1751,OR(N1751="331",O1751="331")),"x","")</f>
        <v/>
      </c>
      <c r="Q1751" s="47" t="str">
        <f>IF(AND(B1751='111'!$L$11,OR($N1751=$Q$7,$O1751=$Q$7)),"x","")</f>
        <v/>
      </c>
      <c r="R1751" s="47" t="str">
        <f>IF(AND($N1751=$Q$7,$B1751&lt;'111'!$L$11),"x","")</f>
        <v/>
      </c>
      <c r="S1751" s="47" t="str">
        <f>IF(AND($O1751=$Q$7,$B1751&lt;'111'!$L$11),"x","")</f>
        <v>x</v>
      </c>
    </row>
    <row r="1752" spans="1:19" ht="15.75" customHeight="1">
      <c r="A1752" s="152" t="str">
        <f>IF(B1752&lt;&gt;"",IF(AND(B1752='IN-TC'!$S$4,OR(TH!N1752="1111",TH!O1752="1111")),TH!D1752,""),"")</f>
        <v>C58</v>
      </c>
      <c r="B1752" s="34">
        <f t="shared" si="62"/>
        <v>10</v>
      </c>
      <c r="C1752" s="35">
        <f t="shared" si="63"/>
        <v>42653</v>
      </c>
      <c r="D1752" s="212" t="s">
        <v>917</v>
      </c>
      <c r="E1752" s="35">
        <v>42653</v>
      </c>
      <c r="F1752" s="144" t="s">
        <v>1316</v>
      </c>
      <c r="G1752" s="191" t="s">
        <v>203</v>
      </c>
      <c r="H1752" s="198" t="s">
        <v>1418</v>
      </c>
      <c r="I1752" s="186"/>
      <c r="J1752" s="186"/>
      <c r="K1752" s="185"/>
      <c r="L1752" s="186"/>
      <c r="M1752" s="36">
        <v>16511000</v>
      </c>
      <c r="N1752" s="37" t="s">
        <v>814</v>
      </c>
      <c r="O1752" s="37" t="s">
        <v>34</v>
      </c>
      <c r="P1752" s="47" t="str">
        <f>IF(AND('331-CT'!$F$5=TH!H1752,OR(N1752="331",O1752="331")),"x","")</f>
        <v/>
      </c>
      <c r="Q1752" s="47" t="str">
        <f>IF(AND(B1752='111'!$L$11,OR($N1752=$Q$7,$O1752=$Q$7)),"x","")</f>
        <v/>
      </c>
      <c r="R1752" s="47" t="str">
        <f>IF(AND($N1752=$Q$7,$B1752&lt;'111'!$L$11),"x","")</f>
        <v/>
      </c>
      <c r="S1752" s="47" t="str">
        <f>IF(AND($O1752=$Q$7,$B1752&lt;'111'!$L$11),"x","")</f>
        <v>x</v>
      </c>
    </row>
    <row r="1753" spans="1:19" ht="15.75" customHeight="1">
      <c r="A1753" s="152" t="str">
        <f>IF(B1753&lt;&gt;"",IF(AND(B1753='IN-TC'!$S$4,OR(TH!N1753="1111",TH!O1753="1111")),TH!D1753,""),"")</f>
        <v>C59</v>
      </c>
      <c r="B1753" s="34">
        <f t="shared" si="62"/>
        <v>10</v>
      </c>
      <c r="C1753" s="35">
        <f t="shared" si="63"/>
        <v>42653</v>
      </c>
      <c r="D1753" s="212" t="s">
        <v>918</v>
      </c>
      <c r="E1753" s="35">
        <v>42653</v>
      </c>
      <c r="F1753" s="144" t="s">
        <v>1317</v>
      </c>
      <c r="G1753" s="191"/>
      <c r="H1753" s="198"/>
      <c r="I1753" s="186"/>
      <c r="J1753" s="186"/>
      <c r="K1753" s="185"/>
      <c r="L1753" s="186"/>
      <c r="M1753" s="36">
        <v>3680000</v>
      </c>
      <c r="N1753" s="37"/>
      <c r="O1753" s="37" t="s">
        <v>34</v>
      </c>
      <c r="P1753" s="47" t="str">
        <f>IF(AND('331-CT'!$F$5=TH!H1753,OR(N1753="331",O1753="331")),"x","")</f>
        <v/>
      </c>
      <c r="Q1753" s="47" t="str">
        <f>IF(AND(B1753='111'!$L$11,OR($N1753=$Q$7,$O1753=$Q$7)),"x","")</f>
        <v/>
      </c>
      <c r="R1753" s="47" t="str">
        <f>IF(AND($N1753=$Q$7,$B1753&lt;'111'!$L$11),"x","")</f>
        <v/>
      </c>
      <c r="S1753" s="47" t="str">
        <f>IF(AND($O1753=$Q$7,$B1753&lt;'111'!$L$11),"x","")</f>
        <v>x</v>
      </c>
    </row>
    <row r="1754" spans="1:19" ht="15.75" customHeight="1">
      <c r="A1754" s="152" t="str">
        <f>IF(B1754&lt;&gt;"",IF(AND(B1754='IN-TC'!$S$4,OR(TH!N1754="1111",TH!O1754="1111")),TH!D1754,""),"")</f>
        <v>T11</v>
      </c>
      <c r="B1754" s="34">
        <f t="shared" si="62"/>
        <v>10</v>
      </c>
      <c r="C1754" s="35">
        <f t="shared" si="63"/>
        <v>42653</v>
      </c>
      <c r="D1754" s="212" t="s">
        <v>1015</v>
      </c>
      <c r="E1754" s="35">
        <v>42653</v>
      </c>
      <c r="F1754" s="144" t="s">
        <v>1318</v>
      </c>
      <c r="G1754" s="191" t="s">
        <v>110</v>
      </c>
      <c r="H1754" s="198"/>
      <c r="I1754" s="186"/>
      <c r="J1754" s="186"/>
      <c r="K1754" s="185"/>
      <c r="L1754" s="186"/>
      <c r="M1754" s="36">
        <v>16000000</v>
      </c>
      <c r="N1754" s="37" t="s">
        <v>34</v>
      </c>
      <c r="O1754" s="37"/>
      <c r="P1754" s="47" t="str">
        <f>IF(AND('331-CT'!$F$5=TH!H1754,OR(N1754="331",O1754="331")),"x","")</f>
        <v/>
      </c>
      <c r="Q1754" s="47" t="str">
        <f>IF(AND(B1754='111'!$L$11,OR($N1754=$Q$7,$O1754=$Q$7)),"x","")</f>
        <v/>
      </c>
      <c r="R1754" s="47" t="str">
        <f>IF(AND($N1754=$Q$7,$B1754&lt;'111'!$L$11),"x","")</f>
        <v>x</v>
      </c>
      <c r="S1754" s="47" t="str">
        <f>IF(AND($O1754=$Q$7,$B1754&lt;'111'!$L$11),"x","")</f>
        <v/>
      </c>
    </row>
    <row r="1755" spans="1:19" ht="15.75" customHeight="1">
      <c r="A1755" s="152" t="str">
        <f>IF(B1755&lt;&gt;"",IF(AND(B1755='IN-TC'!$S$4,OR(TH!N1755="1111",TH!O1755="1111")),TH!D1755,""),"")</f>
        <v>C60</v>
      </c>
      <c r="B1755" s="34">
        <f t="shared" si="62"/>
        <v>10</v>
      </c>
      <c r="C1755" s="35">
        <f t="shared" si="63"/>
        <v>42653</v>
      </c>
      <c r="D1755" s="212" t="s">
        <v>919</v>
      </c>
      <c r="E1755" s="35">
        <v>42653</v>
      </c>
      <c r="F1755" s="144" t="s">
        <v>1319</v>
      </c>
      <c r="G1755" s="191"/>
      <c r="H1755" s="198"/>
      <c r="I1755" s="186"/>
      <c r="J1755" s="186"/>
      <c r="K1755" s="185"/>
      <c r="L1755" s="186"/>
      <c r="M1755" s="36">
        <v>17638000</v>
      </c>
      <c r="N1755" s="37"/>
      <c r="O1755" s="37" t="s">
        <v>34</v>
      </c>
      <c r="P1755" s="47" t="str">
        <f>IF(AND('331-CT'!$F$5=TH!H1755,OR(N1755="331",O1755="331")),"x","")</f>
        <v/>
      </c>
      <c r="Q1755" s="47" t="str">
        <f>IF(AND(B1755='111'!$L$11,OR($N1755=$Q$7,$O1755=$Q$7)),"x","")</f>
        <v/>
      </c>
      <c r="R1755" s="47" t="str">
        <f>IF(AND($N1755=$Q$7,$B1755&lt;'111'!$L$11),"x","")</f>
        <v/>
      </c>
      <c r="S1755" s="47" t="str">
        <f>IF(AND($O1755=$Q$7,$B1755&lt;'111'!$L$11),"x","")</f>
        <v>x</v>
      </c>
    </row>
    <row r="1756" spans="1:19" ht="15.75" customHeight="1">
      <c r="A1756" s="152" t="str">
        <f>IF(B1756&lt;&gt;"",IF(AND(B1756='IN-TC'!$S$4,OR(TH!N1756="1111",TH!O1756="1111")),TH!D1756,""),"")</f>
        <v>C61</v>
      </c>
      <c r="B1756" s="34">
        <f t="shared" si="62"/>
        <v>10</v>
      </c>
      <c r="C1756" s="35">
        <f t="shared" si="63"/>
        <v>42653</v>
      </c>
      <c r="D1756" s="212" t="s">
        <v>920</v>
      </c>
      <c r="E1756" s="35">
        <v>42653</v>
      </c>
      <c r="F1756" s="144" t="s">
        <v>1320</v>
      </c>
      <c r="G1756" s="191"/>
      <c r="H1756" s="198"/>
      <c r="I1756" s="186"/>
      <c r="J1756" s="186"/>
      <c r="K1756" s="185"/>
      <c r="L1756" s="186"/>
      <c r="M1756" s="36">
        <v>1098000</v>
      </c>
      <c r="N1756" s="37"/>
      <c r="O1756" s="37" t="s">
        <v>34</v>
      </c>
      <c r="P1756" s="47" t="str">
        <f>IF(AND('331-CT'!$F$5=TH!H1756,OR(N1756="331",O1756="331")),"x","")</f>
        <v/>
      </c>
      <c r="Q1756" s="47" t="str">
        <f>IF(AND(B1756='111'!$L$11,OR($N1756=$Q$7,$O1756=$Q$7)),"x","")</f>
        <v/>
      </c>
      <c r="R1756" s="47" t="str">
        <f>IF(AND($N1756=$Q$7,$B1756&lt;'111'!$L$11),"x","")</f>
        <v/>
      </c>
      <c r="S1756" s="47" t="str">
        <f>IF(AND($O1756=$Q$7,$B1756&lt;'111'!$L$11),"x","")</f>
        <v>x</v>
      </c>
    </row>
    <row r="1757" spans="1:19" ht="15.75" customHeight="1">
      <c r="A1757" s="152" t="str">
        <f>IF(B1757&lt;&gt;"",IF(AND(B1757='IN-TC'!$S$4,OR(TH!N1757="1111",TH!O1757="1111")),TH!D1757,""),"")</f>
        <v>C62</v>
      </c>
      <c r="B1757" s="34">
        <f t="shared" si="62"/>
        <v>10</v>
      </c>
      <c r="C1757" s="35">
        <f t="shared" si="63"/>
        <v>42653</v>
      </c>
      <c r="D1757" s="212" t="s">
        <v>921</v>
      </c>
      <c r="E1757" s="35">
        <v>42653</v>
      </c>
      <c r="F1757" s="144" t="s">
        <v>1321</v>
      </c>
      <c r="G1757" s="191" t="s">
        <v>110</v>
      </c>
      <c r="H1757" s="198"/>
      <c r="I1757" s="186"/>
      <c r="J1757" s="186"/>
      <c r="K1757" s="185"/>
      <c r="L1757" s="186"/>
      <c r="M1757" s="36">
        <v>5000000</v>
      </c>
      <c r="N1757" s="37"/>
      <c r="O1757" s="37" t="s">
        <v>34</v>
      </c>
      <c r="P1757" s="47" t="str">
        <f>IF(AND('331-CT'!$F$5=TH!H1757,OR(N1757="331",O1757="331")),"x","")</f>
        <v/>
      </c>
      <c r="Q1757" s="47" t="str">
        <f>IF(AND(B1757='111'!$L$11,OR($N1757=$Q$7,$O1757=$Q$7)),"x","")</f>
        <v/>
      </c>
      <c r="R1757" s="47" t="str">
        <f>IF(AND($N1757=$Q$7,$B1757&lt;'111'!$L$11),"x","")</f>
        <v/>
      </c>
      <c r="S1757" s="47" t="str">
        <f>IF(AND($O1757=$Q$7,$B1757&lt;'111'!$L$11),"x","")</f>
        <v>x</v>
      </c>
    </row>
    <row r="1758" spans="1:19" ht="15.75" customHeight="1">
      <c r="A1758" s="152" t="str">
        <f>IF(B1758&lt;&gt;"",IF(AND(B1758='IN-TC'!$S$4,OR(TH!N1758="1111",TH!O1758="1111")),TH!D1758,""),"")</f>
        <v>C63</v>
      </c>
      <c r="B1758" s="34">
        <f t="shared" si="62"/>
        <v>10</v>
      </c>
      <c r="C1758" s="35">
        <f t="shared" si="63"/>
        <v>42653</v>
      </c>
      <c r="D1758" s="212" t="s">
        <v>922</v>
      </c>
      <c r="E1758" s="35">
        <v>42653</v>
      </c>
      <c r="F1758" s="144" t="s">
        <v>1322</v>
      </c>
      <c r="G1758" s="191" t="s">
        <v>105</v>
      </c>
      <c r="H1758" s="198" t="s">
        <v>1414</v>
      </c>
      <c r="I1758" s="186"/>
      <c r="J1758" s="186"/>
      <c r="K1758" s="185"/>
      <c r="L1758" s="186"/>
      <c r="M1758" s="36">
        <v>100000000</v>
      </c>
      <c r="N1758" s="37" t="s">
        <v>812</v>
      </c>
      <c r="O1758" s="37" t="s">
        <v>34</v>
      </c>
      <c r="P1758" s="47" t="str">
        <f>IF(AND('331-CT'!$F$5=TH!H1758,OR(N1758="331",O1758="331")),"x","")</f>
        <v/>
      </c>
      <c r="Q1758" s="47" t="str">
        <f>IF(AND(B1758='111'!$L$11,OR($N1758=$Q$7,$O1758=$Q$7)),"x","")</f>
        <v/>
      </c>
      <c r="R1758" s="47" t="str">
        <f>IF(AND($N1758=$Q$7,$B1758&lt;'111'!$L$11),"x","")</f>
        <v/>
      </c>
      <c r="S1758" s="47" t="str">
        <f>IF(AND($O1758=$Q$7,$B1758&lt;'111'!$L$11),"x","")</f>
        <v>x</v>
      </c>
    </row>
    <row r="1759" spans="1:19" ht="15.75" customHeight="1">
      <c r="A1759" s="152" t="str">
        <f>IF(B1759&lt;&gt;"",IF(AND(B1759='IN-TC'!$S$4,OR(TH!N1759="1111",TH!O1759="1111")),TH!D1759,""),"")</f>
        <v>C63</v>
      </c>
      <c r="B1759" s="34">
        <f t="shared" si="62"/>
        <v>10</v>
      </c>
      <c r="C1759" s="35">
        <f t="shared" si="63"/>
        <v>42653</v>
      </c>
      <c r="D1759" s="212" t="s">
        <v>922</v>
      </c>
      <c r="E1759" s="35">
        <v>42653</v>
      </c>
      <c r="F1759" s="144" t="s">
        <v>203</v>
      </c>
      <c r="G1759" s="191" t="s">
        <v>203</v>
      </c>
      <c r="H1759" s="198" t="s">
        <v>1414</v>
      </c>
      <c r="I1759" s="186"/>
      <c r="J1759" s="186"/>
      <c r="K1759" s="185"/>
      <c r="L1759" s="186"/>
      <c r="M1759" s="36">
        <v>3531000</v>
      </c>
      <c r="N1759" s="37" t="s">
        <v>814</v>
      </c>
      <c r="O1759" s="37" t="s">
        <v>34</v>
      </c>
      <c r="P1759" s="47" t="str">
        <f>IF(AND('331-CT'!$F$5=TH!H1759,OR(N1759="331",O1759="331")),"x","")</f>
        <v/>
      </c>
      <c r="Q1759" s="47" t="str">
        <f>IF(AND(B1759='111'!$L$11,OR($N1759=$Q$7,$O1759=$Q$7)),"x","")</f>
        <v/>
      </c>
      <c r="R1759" s="47" t="str">
        <f>IF(AND($N1759=$Q$7,$B1759&lt;'111'!$L$11),"x","")</f>
        <v/>
      </c>
      <c r="S1759" s="47" t="str">
        <f>IF(AND($O1759=$Q$7,$B1759&lt;'111'!$L$11),"x","")</f>
        <v>x</v>
      </c>
    </row>
    <row r="1760" spans="1:19" ht="15.75" customHeight="1">
      <c r="A1760" s="152" t="str">
        <f>IF(B1760&lt;&gt;"",IF(AND(B1760='IN-TC'!$S$4,OR(TH!N1760="1111",TH!O1760="1111")),TH!D1760,""),"")</f>
        <v>C64</v>
      </c>
      <c r="B1760" s="34">
        <f t="shared" si="62"/>
        <v>10</v>
      </c>
      <c r="C1760" s="35">
        <f t="shared" si="63"/>
        <v>42653</v>
      </c>
      <c r="D1760" s="212" t="s">
        <v>923</v>
      </c>
      <c r="E1760" s="35">
        <v>42653</v>
      </c>
      <c r="F1760" s="144" t="s">
        <v>1323</v>
      </c>
      <c r="G1760" s="38" t="s">
        <v>203</v>
      </c>
      <c r="H1760" s="198" t="s">
        <v>1433</v>
      </c>
      <c r="I1760" s="186"/>
      <c r="J1760" s="186"/>
      <c r="K1760" s="185"/>
      <c r="L1760" s="186"/>
      <c r="M1760" s="36">
        <v>16017000</v>
      </c>
      <c r="N1760" s="37" t="s">
        <v>814</v>
      </c>
      <c r="O1760" s="37" t="s">
        <v>34</v>
      </c>
      <c r="P1760" s="47" t="str">
        <f>IF(AND('331-CT'!$F$5=TH!H1760,OR(N1760="331",O1760="331")),"x","")</f>
        <v/>
      </c>
      <c r="Q1760" s="47" t="str">
        <f>IF(AND(B1760='111'!$L$11,OR($N1760=$Q$7,$O1760=$Q$7)),"x","")</f>
        <v/>
      </c>
      <c r="R1760" s="47" t="str">
        <f>IF(AND($N1760=$Q$7,$B1760&lt;'111'!$L$11),"x","")</f>
        <v/>
      </c>
      <c r="S1760" s="47" t="str">
        <f>IF(AND($O1760=$Q$7,$B1760&lt;'111'!$L$11),"x","")</f>
        <v>x</v>
      </c>
    </row>
    <row r="1761" spans="1:19" ht="15.75" customHeight="1">
      <c r="A1761" s="152" t="str">
        <f>IF(B1761&lt;&gt;"",IF(AND(B1761='IN-TC'!$S$4,OR(TH!N1761="1111",TH!O1761="1111")),TH!D1761,""),"")</f>
        <v>C65</v>
      </c>
      <c r="B1761" s="34">
        <f t="shared" si="62"/>
        <v>10</v>
      </c>
      <c r="C1761" s="35">
        <f t="shared" si="63"/>
        <v>42653</v>
      </c>
      <c r="D1761" s="212" t="s">
        <v>924</v>
      </c>
      <c r="E1761" s="35">
        <v>42653</v>
      </c>
      <c r="F1761" s="144" t="s">
        <v>367</v>
      </c>
      <c r="G1761" s="191" t="s">
        <v>206</v>
      </c>
      <c r="H1761" s="198" t="s">
        <v>849</v>
      </c>
      <c r="I1761" s="186"/>
      <c r="J1761" s="186"/>
      <c r="K1761" s="185"/>
      <c r="L1761" s="186"/>
      <c r="M1761" s="36">
        <v>200000000</v>
      </c>
      <c r="N1761" s="37" t="s">
        <v>8</v>
      </c>
      <c r="O1761" s="37" t="s">
        <v>34</v>
      </c>
      <c r="P1761" s="47" t="str">
        <f>IF(AND('331-CT'!$F$5=TH!H1761,OR(N1761="331",O1761="331")),"x","")</f>
        <v/>
      </c>
      <c r="Q1761" s="47" t="str">
        <f>IF(AND(B1761='111'!$L$11,OR($N1761=$Q$7,$O1761=$Q$7)),"x","")</f>
        <v/>
      </c>
      <c r="R1761" s="47" t="str">
        <f>IF(AND($N1761=$Q$7,$B1761&lt;'111'!$L$11),"x","")</f>
        <v/>
      </c>
      <c r="S1761" s="47" t="str">
        <f>IF(AND($O1761=$Q$7,$B1761&lt;'111'!$L$11),"x","")</f>
        <v>x</v>
      </c>
    </row>
    <row r="1762" spans="1:19" ht="15.75" customHeight="1">
      <c r="A1762" s="152" t="str">
        <f>IF(B1762&lt;&gt;"",IF(AND(B1762='IN-TC'!$S$4,OR(TH!N1762="1111",TH!O1762="1111")),TH!D1762,""),"")</f>
        <v>C66</v>
      </c>
      <c r="B1762" s="34">
        <f t="shared" si="62"/>
        <v>10</v>
      </c>
      <c r="C1762" s="35">
        <f t="shared" si="63"/>
        <v>42653</v>
      </c>
      <c r="D1762" s="212" t="s">
        <v>925</v>
      </c>
      <c r="E1762" s="35">
        <v>42653</v>
      </c>
      <c r="F1762" s="144" t="s">
        <v>1196</v>
      </c>
      <c r="G1762" s="191" t="s">
        <v>206</v>
      </c>
      <c r="H1762" s="198" t="s">
        <v>1420</v>
      </c>
      <c r="I1762" s="186"/>
      <c r="J1762" s="186"/>
      <c r="K1762" s="185"/>
      <c r="L1762" s="186"/>
      <c r="M1762" s="36">
        <v>200000000</v>
      </c>
      <c r="N1762" s="37" t="s">
        <v>8</v>
      </c>
      <c r="O1762" s="37" t="s">
        <v>34</v>
      </c>
      <c r="P1762" s="47" t="str">
        <f>IF(AND('331-CT'!$F$5=TH!H1762,OR(N1762="331",O1762="331")),"x","")</f>
        <v/>
      </c>
      <c r="Q1762" s="47" t="str">
        <f>IF(AND(B1762='111'!$L$11,OR($N1762=$Q$7,$O1762=$Q$7)),"x","")</f>
        <v/>
      </c>
      <c r="R1762" s="47" t="str">
        <f>IF(AND($N1762=$Q$7,$B1762&lt;'111'!$L$11),"x","")</f>
        <v/>
      </c>
      <c r="S1762" s="47" t="str">
        <f>IF(AND($O1762=$Q$7,$B1762&lt;'111'!$L$11),"x","")</f>
        <v>x</v>
      </c>
    </row>
    <row r="1763" spans="1:19" ht="15.75" customHeight="1">
      <c r="A1763" s="152" t="str">
        <f>IF(B1763&lt;&gt;"",IF(AND(B1763='IN-TC'!$S$4,OR(TH!N1763="1111",TH!O1763="1111")),TH!D1763,""),"")</f>
        <v>C67</v>
      </c>
      <c r="B1763" s="34">
        <f t="shared" si="62"/>
        <v>10</v>
      </c>
      <c r="C1763" s="35">
        <f t="shared" si="63"/>
        <v>42653</v>
      </c>
      <c r="D1763" s="212" t="s">
        <v>926</v>
      </c>
      <c r="E1763" s="35">
        <v>42653</v>
      </c>
      <c r="F1763" s="144" t="s">
        <v>1396</v>
      </c>
      <c r="G1763" s="191" t="s">
        <v>206</v>
      </c>
      <c r="H1763" s="198" t="s">
        <v>841</v>
      </c>
      <c r="I1763" s="186"/>
      <c r="J1763" s="186"/>
      <c r="K1763" s="185"/>
      <c r="L1763" s="186"/>
      <c r="M1763" s="36">
        <v>200000000</v>
      </c>
      <c r="N1763" s="37" t="s">
        <v>8</v>
      </c>
      <c r="O1763" s="37" t="s">
        <v>34</v>
      </c>
      <c r="P1763" s="47" t="str">
        <f>IF(AND('331-CT'!$F$5=TH!H1763,OR(N1763="331",O1763="331")),"x","")</f>
        <v/>
      </c>
      <c r="Q1763" s="47" t="str">
        <f>IF(AND(B1763='111'!$L$11,OR($N1763=$Q$7,$O1763=$Q$7)),"x","")</f>
        <v/>
      </c>
      <c r="R1763" s="47" t="str">
        <f>IF(AND($N1763=$Q$7,$B1763&lt;'111'!$L$11),"x","")</f>
        <v/>
      </c>
      <c r="S1763" s="47" t="str">
        <f>IF(AND($O1763=$Q$7,$B1763&lt;'111'!$L$11),"x","")</f>
        <v>x</v>
      </c>
    </row>
    <row r="1764" spans="1:19" ht="15.75" customHeight="1">
      <c r="A1764" s="152" t="str">
        <f>IF(B1764&lt;&gt;"",IF(AND(B1764='IN-TC'!$S$4,OR(TH!N1764="1111",TH!O1764="1111")),TH!D1764,""),"")</f>
        <v>C68</v>
      </c>
      <c r="B1764" s="34">
        <f t="shared" si="62"/>
        <v>10</v>
      </c>
      <c r="C1764" s="35">
        <f t="shared" si="63"/>
        <v>42653</v>
      </c>
      <c r="D1764" s="212" t="s">
        <v>927</v>
      </c>
      <c r="E1764" s="35">
        <v>42653</v>
      </c>
      <c r="F1764" s="144" t="s">
        <v>1324</v>
      </c>
      <c r="G1764" s="191" t="s">
        <v>206</v>
      </c>
      <c r="H1764" s="198" t="s">
        <v>1422</v>
      </c>
      <c r="I1764" s="186"/>
      <c r="J1764" s="186"/>
      <c r="K1764" s="185"/>
      <c r="L1764" s="186"/>
      <c r="M1764" s="36">
        <v>160460000</v>
      </c>
      <c r="N1764" s="37" t="s">
        <v>8</v>
      </c>
      <c r="O1764" s="37" t="s">
        <v>34</v>
      </c>
      <c r="P1764" s="47" t="str">
        <f>IF(AND('331-CT'!$F$5=TH!H1764,OR(N1764="331",O1764="331")),"x","")</f>
        <v/>
      </c>
      <c r="Q1764" s="47" t="str">
        <f>IF(AND(B1764='111'!$L$11,OR($N1764=$Q$7,$O1764=$Q$7)),"x","")</f>
        <v/>
      </c>
      <c r="R1764" s="47" t="str">
        <f>IF(AND($N1764=$Q$7,$B1764&lt;'111'!$L$11),"x","")</f>
        <v/>
      </c>
      <c r="S1764" s="47" t="str">
        <f>IF(AND($O1764=$Q$7,$B1764&lt;'111'!$L$11),"x","")</f>
        <v>x</v>
      </c>
    </row>
    <row r="1765" spans="1:19" ht="15.75" customHeight="1">
      <c r="A1765" s="152" t="str">
        <f>IF(B1765&lt;&gt;"",IF(AND(B1765='IN-TC'!$S$4,OR(TH!N1765="1111",TH!O1765="1111")),TH!D1765,""),"")</f>
        <v>C69</v>
      </c>
      <c r="B1765" s="34">
        <f t="shared" si="62"/>
        <v>10</v>
      </c>
      <c r="C1765" s="35">
        <f t="shared" si="63"/>
        <v>42653</v>
      </c>
      <c r="D1765" s="212" t="s">
        <v>928</v>
      </c>
      <c r="E1765" s="35">
        <v>42653</v>
      </c>
      <c r="F1765" s="144" t="s">
        <v>348</v>
      </c>
      <c r="G1765" s="191" t="s">
        <v>206</v>
      </c>
      <c r="H1765" s="198" t="s">
        <v>834</v>
      </c>
      <c r="I1765" s="186"/>
      <c r="J1765" s="186"/>
      <c r="K1765" s="185"/>
      <c r="L1765" s="186"/>
      <c r="M1765" s="36">
        <v>134562000</v>
      </c>
      <c r="N1765" s="37" t="s">
        <v>8</v>
      </c>
      <c r="O1765" s="37" t="s">
        <v>34</v>
      </c>
      <c r="P1765" s="47" t="str">
        <f>IF(AND('331-CT'!$F$5=TH!H1765,OR(N1765="331",O1765="331")),"x","")</f>
        <v/>
      </c>
      <c r="Q1765" s="47" t="str">
        <f>IF(AND(B1765='111'!$L$11,OR($N1765=$Q$7,$O1765=$Q$7)),"x","")</f>
        <v/>
      </c>
      <c r="R1765" s="47" t="str">
        <f>IF(AND($N1765=$Q$7,$B1765&lt;'111'!$L$11),"x","")</f>
        <v/>
      </c>
      <c r="S1765" s="47" t="str">
        <f>IF(AND($O1765=$Q$7,$B1765&lt;'111'!$L$11),"x","")</f>
        <v>x</v>
      </c>
    </row>
    <row r="1766" spans="1:19" ht="15.75" customHeight="1">
      <c r="A1766" s="152" t="str">
        <f>IF(B1766&lt;&gt;"",IF(AND(B1766='IN-TC'!$S$4,OR(TH!N1766="1111",TH!O1766="1111")),TH!D1766,""),"")</f>
        <v>C69</v>
      </c>
      <c r="B1766" s="34">
        <f t="shared" si="62"/>
        <v>10</v>
      </c>
      <c r="C1766" s="35">
        <f t="shared" si="63"/>
        <v>42653</v>
      </c>
      <c r="D1766" s="212" t="s">
        <v>928</v>
      </c>
      <c r="E1766" s="35">
        <v>42653</v>
      </c>
      <c r="F1766" s="144" t="s">
        <v>1424</v>
      </c>
      <c r="G1766" s="191"/>
      <c r="H1766" s="198"/>
      <c r="I1766" s="186"/>
      <c r="J1766" s="186"/>
      <c r="K1766" s="185"/>
      <c r="L1766" s="186"/>
      <c r="M1766" s="36">
        <v>40000</v>
      </c>
      <c r="N1766" s="37" t="s">
        <v>1425</v>
      </c>
      <c r="O1766" s="37" t="s">
        <v>34</v>
      </c>
      <c r="P1766" s="47" t="str">
        <f>IF(AND('331-CT'!$F$5=TH!H1766,OR(N1766="331",O1766="331")),"x","")</f>
        <v/>
      </c>
      <c r="Q1766" s="47" t="str">
        <f>IF(AND(B1766='111'!$L$11,OR($N1766=$Q$7,$O1766=$Q$7)),"x","")</f>
        <v/>
      </c>
      <c r="R1766" s="47" t="str">
        <f>IF(AND($N1766=$Q$7,$B1766&lt;'111'!$L$11),"x","")</f>
        <v/>
      </c>
      <c r="S1766" s="47" t="str">
        <f>IF(AND($O1766=$Q$7,$B1766&lt;'111'!$L$11),"x","")</f>
        <v>x</v>
      </c>
    </row>
    <row r="1767" spans="1:19" ht="15.75" customHeight="1">
      <c r="A1767" s="152" t="str">
        <f>IF(B1767&lt;&gt;"",IF(AND(B1767='IN-TC'!$S$4,OR(TH!N1767="1111",TH!O1767="1111")),TH!D1767,""),"")</f>
        <v>C70</v>
      </c>
      <c r="B1767" s="34">
        <f t="shared" si="62"/>
        <v>10</v>
      </c>
      <c r="C1767" s="35">
        <f t="shared" si="63"/>
        <v>42653</v>
      </c>
      <c r="D1767" s="212" t="s">
        <v>929</v>
      </c>
      <c r="E1767" s="35">
        <v>42653</v>
      </c>
      <c r="F1767" s="144" t="s">
        <v>1325</v>
      </c>
      <c r="G1767" s="191" t="s">
        <v>212</v>
      </c>
      <c r="H1767" s="198"/>
      <c r="I1767" s="186"/>
      <c r="J1767" s="186"/>
      <c r="K1767" s="185"/>
      <c r="L1767" s="186"/>
      <c r="M1767" s="36">
        <v>2000000</v>
      </c>
      <c r="N1767" s="37"/>
      <c r="O1767" s="37" t="s">
        <v>34</v>
      </c>
      <c r="P1767" s="47" t="str">
        <f>IF(AND('331-CT'!$F$5=TH!H1767,OR(N1767="331",O1767="331")),"x","")</f>
        <v/>
      </c>
      <c r="Q1767" s="47" t="str">
        <f>IF(AND(B1767='111'!$L$11,OR($N1767=$Q$7,$O1767=$Q$7)),"x","")</f>
        <v/>
      </c>
      <c r="R1767" s="47" t="str">
        <f>IF(AND($N1767=$Q$7,$B1767&lt;'111'!$L$11),"x","")</f>
        <v/>
      </c>
      <c r="S1767" s="47" t="str">
        <f>IF(AND($O1767=$Q$7,$B1767&lt;'111'!$L$11),"x","")</f>
        <v>x</v>
      </c>
    </row>
    <row r="1768" spans="1:19" ht="15.75" customHeight="1">
      <c r="A1768" s="152" t="str">
        <f>IF(B1768&lt;&gt;"",IF(AND(B1768='IN-TC'!$S$4,OR(TH!N1768="1111",TH!O1768="1111")),TH!D1768,""),"")</f>
        <v>C71</v>
      </c>
      <c r="B1768" s="34">
        <f t="shared" si="62"/>
        <v>10</v>
      </c>
      <c r="C1768" s="35">
        <f t="shared" si="63"/>
        <v>42653</v>
      </c>
      <c r="D1768" s="212" t="s">
        <v>940</v>
      </c>
      <c r="E1768" s="35">
        <v>42653</v>
      </c>
      <c r="F1768" s="144" t="s">
        <v>1201</v>
      </c>
      <c r="G1768" s="191" t="s">
        <v>113</v>
      </c>
      <c r="H1768" s="198" t="s">
        <v>1437</v>
      </c>
      <c r="I1768" s="186"/>
      <c r="J1768" s="186"/>
      <c r="K1768" s="185"/>
      <c r="L1768" s="186"/>
      <c r="M1768" s="36">
        <v>20000000</v>
      </c>
      <c r="N1768" s="37"/>
      <c r="O1768" s="37" t="s">
        <v>34</v>
      </c>
      <c r="P1768" s="47" t="str">
        <f>IF(AND('331-CT'!$F$5=TH!H1768,OR(N1768="331",O1768="331")),"x","")</f>
        <v/>
      </c>
      <c r="Q1768" s="47" t="str">
        <f>IF(AND(B1768='111'!$L$11,OR($N1768=$Q$7,$O1768=$Q$7)),"x","")</f>
        <v/>
      </c>
      <c r="R1768" s="47" t="str">
        <f>IF(AND($N1768=$Q$7,$B1768&lt;'111'!$L$11),"x","")</f>
        <v/>
      </c>
      <c r="S1768" s="47" t="str">
        <f>IF(AND($O1768=$Q$7,$B1768&lt;'111'!$L$11),"x","")</f>
        <v>x</v>
      </c>
    </row>
    <row r="1769" spans="1:19" ht="15.75" customHeight="1">
      <c r="A1769" s="152" t="str">
        <f>IF(B1769&lt;&gt;"",IF(AND(B1769='IN-TC'!$S$4,OR(TH!N1769="1111",TH!O1769="1111")),TH!D1769,""),"")</f>
        <v>C72</v>
      </c>
      <c r="B1769" s="34">
        <f t="shared" si="62"/>
        <v>10</v>
      </c>
      <c r="C1769" s="35">
        <f t="shared" si="63"/>
        <v>42653</v>
      </c>
      <c r="D1769" s="212" t="s">
        <v>941</v>
      </c>
      <c r="E1769" s="35">
        <v>42653</v>
      </c>
      <c r="F1769" s="144" t="s">
        <v>1326</v>
      </c>
      <c r="G1769" s="191" t="s">
        <v>207</v>
      </c>
      <c r="H1769" s="198"/>
      <c r="I1769" s="186"/>
      <c r="J1769" s="186"/>
      <c r="K1769" s="185"/>
      <c r="L1769" s="186"/>
      <c r="M1769" s="36">
        <v>4411000</v>
      </c>
      <c r="N1769" s="37"/>
      <c r="O1769" s="37" t="s">
        <v>34</v>
      </c>
      <c r="P1769" s="47" t="str">
        <f>IF(AND('331-CT'!$F$5=TH!H1769,OR(N1769="331",O1769="331")),"x","")</f>
        <v/>
      </c>
      <c r="Q1769" s="47" t="str">
        <f>IF(AND(B1769='111'!$L$11,OR($N1769=$Q$7,$O1769=$Q$7)),"x","")</f>
        <v/>
      </c>
      <c r="R1769" s="47" t="str">
        <f>IF(AND($N1769=$Q$7,$B1769&lt;'111'!$L$11),"x","")</f>
        <v/>
      </c>
      <c r="S1769" s="47" t="str">
        <f>IF(AND($O1769=$Q$7,$B1769&lt;'111'!$L$11),"x","")</f>
        <v>x</v>
      </c>
    </row>
    <row r="1770" spans="1:19" ht="15.75" customHeight="1">
      <c r="A1770" s="152" t="str">
        <f>IF(B1770&lt;&gt;"",IF(AND(B1770='IN-TC'!$S$4,OR(TH!N1770="1111",TH!O1770="1111")),TH!D1770,""),"")</f>
        <v/>
      </c>
      <c r="B1770" s="34">
        <f t="shared" si="62"/>
        <v>10</v>
      </c>
      <c r="C1770" s="35">
        <f t="shared" si="63"/>
        <v>42653</v>
      </c>
      <c r="D1770" s="212"/>
      <c r="E1770" s="35">
        <v>42653</v>
      </c>
      <c r="F1770" s="144" t="s">
        <v>1466</v>
      </c>
      <c r="G1770" s="191" t="s">
        <v>204</v>
      </c>
      <c r="H1770" s="198" t="s">
        <v>832</v>
      </c>
      <c r="I1770" s="186">
        <v>4595</v>
      </c>
      <c r="J1770" s="186">
        <v>17000</v>
      </c>
      <c r="K1770" s="185"/>
      <c r="L1770" s="186"/>
      <c r="M1770" s="36">
        <f>ROUND(I1770*J1770,0)</f>
        <v>78115000</v>
      </c>
      <c r="N1770" s="37" t="s">
        <v>1443</v>
      </c>
      <c r="O1770" s="37" t="s">
        <v>8</v>
      </c>
      <c r="P1770" s="47" t="str">
        <f>IF(AND('331-CT'!$F$5=TH!H1770,OR(N1770="331",O1770="331")),"x","")</f>
        <v/>
      </c>
      <c r="Q1770" s="47" t="str">
        <f>IF(AND(B1770='111'!$L$11,OR($N1770=$Q$7,$O1770=$Q$7)),"x","")</f>
        <v/>
      </c>
      <c r="R1770" s="47" t="str">
        <f>IF(AND($N1770=$Q$7,$B1770&lt;'111'!$L$11),"x","")</f>
        <v/>
      </c>
      <c r="S1770" s="47" t="str">
        <f>IF(AND($O1770=$Q$7,$B1770&lt;'111'!$L$11),"x","")</f>
        <v/>
      </c>
    </row>
    <row r="1771" spans="1:19" ht="15.75" customHeight="1">
      <c r="A1771" s="152" t="str">
        <f>IF(B1771&lt;&gt;"",IF(AND(B1771='IN-TC'!$S$4,OR(TH!N1771="1111",TH!O1771="1111")),TH!D1771,""),"")</f>
        <v/>
      </c>
      <c r="B1771" s="34">
        <f t="shared" si="62"/>
        <v>10</v>
      </c>
      <c r="C1771" s="35">
        <f t="shared" si="63"/>
        <v>42653</v>
      </c>
      <c r="D1771" s="212"/>
      <c r="E1771" s="35">
        <v>42653</v>
      </c>
      <c r="F1771" s="144" t="s">
        <v>1441</v>
      </c>
      <c r="G1771" s="191"/>
      <c r="H1771" s="198" t="s">
        <v>1527</v>
      </c>
      <c r="I1771" s="186">
        <v>740</v>
      </c>
      <c r="J1771" s="186">
        <v>105000</v>
      </c>
      <c r="K1771" s="185"/>
      <c r="L1771" s="186"/>
      <c r="M1771" s="36">
        <f>ROUND(I1771*J1771,-3)</f>
        <v>77700000</v>
      </c>
      <c r="N1771" s="37" t="s">
        <v>1443</v>
      </c>
      <c r="O1771" s="37" t="s">
        <v>8</v>
      </c>
      <c r="P1771" s="47" t="str">
        <f>IF(AND('331-CT'!$F$5=TH!H1771,OR(N1771="331",O1771="331")),"x","")</f>
        <v/>
      </c>
      <c r="Q1771" s="47" t="str">
        <f>IF(AND(B1771='111'!$L$11,OR($N1771=$Q$7,$O1771=$Q$7)),"x","")</f>
        <v/>
      </c>
      <c r="R1771" s="47" t="str">
        <f>IF(AND($N1771=$Q$7,$B1771&lt;'111'!$L$11),"x","")</f>
        <v/>
      </c>
      <c r="S1771" s="47" t="str">
        <f>IF(AND($O1771=$Q$7,$B1771&lt;'111'!$L$11),"x","")</f>
        <v/>
      </c>
    </row>
    <row r="1772" spans="1:19" ht="15.75" customHeight="1">
      <c r="A1772" s="152" t="str">
        <f>IF(B1772&lt;&gt;"",IF(AND(B1772='IN-TC'!$S$4,OR(TH!N1772="1111",TH!O1772="1111")),TH!D1772,""),"")</f>
        <v/>
      </c>
      <c r="B1772" s="34">
        <f t="shared" si="62"/>
        <v>10</v>
      </c>
      <c r="C1772" s="35">
        <f t="shared" si="63"/>
        <v>42653</v>
      </c>
      <c r="D1772" s="212"/>
      <c r="E1772" s="35">
        <v>42653</v>
      </c>
      <c r="F1772" s="144" t="s">
        <v>1439</v>
      </c>
      <c r="G1772" s="191"/>
      <c r="H1772" s="198" t="s">
        <v>1527</v>
      </c>
      <c r="I1772" s="186">
        <v>280</v>
      </c>
      <c r="J1772" s="186">
        <v>130000</v>
      </c>
      <c r="K1772" s="185"/>
      <c r="L1772" s="186"/>
      <c r="M1772" s="36">
        <f>ROUND(I1772*J1772,-3)</f>
        <v>36400000</v>
      </c>
      <c r="N1772" s="37" t="s">
        <v>1443</v>
      </c>
      <c r="O1772" s="37" t="s">
        <v>8</v>
      </c>
      <c r="P1772" s="47" t="str">
        <f>IF(AND('331-CT'!$F$5=TH!H1772,OR(N1772="331",O1772="331")),"x","")</f>
        <v/>
      </c>
      <c r="Q1772" s="47" t="str">
        <f>IF(AND(B1772='111'!$L$11,OR($N1772=$Q$7,$O1772=$Q$7)),"x","")</f>
        <v/>
      </c>
      <c r="R1772" s="47" t="str">
        <f>IF(AND($N1772=$Q$7,$B1772&lt;'111'!$L$11),"x","")</f>
        <v/>
      </c>
      <c r="S1772" s="47" t="str">
        <f>IF(AND($O1772=$Q$7,$B1772&lt;'111'!$L$11),"x","")</f>
        <v/>
      </c>
    </row>
    <row r="1773" spans="1:19" ht="15.75" customHeight="1">
      <c r="A1773" s="152" t="str">
        <f>IF(B1773&lt;&gt;"",IF(AND(B1773='IN-TC'!$S$4,OR(TH!N1773="1111",TH!O1773="1111")),TH!D1773,""),"")</f>
        <v>C73</v>
      </c>
      <c r="B1773" s="34">
        <f t="shared" si="62"/>
        <v>10</v>
      </c>
      <c r="C1773" s="35">
        <f t="shared" si="63"/>
        <v>42654</v>
      </c>
      <c r="D1773" s="212" t="s">
        <v>942</v>
      </c>
      <c r="E1773" s="35">
        <v>42654</v>
      </c>
      <c r="F1773" s="144" t="s">
        <v>602</v>
      </c>
      <c r="G1773" s="191" t="s">
        <v>206</v>
      </c>
      <c r="H1773" s="198" t="s">
        <v>831</v>
      </c>
      <c r="I1773" s="186"/>
      <c r="J1773" s="186"/>
      <c r="K1773" s="185"/>
      <c r="L1773" s="186"/>
      <c r="M1773" s="36">
        <v>50000000</v>
      </c>
      <c r="N1773" s="37" t="s">
        <v>8</v>
      </c>
      <c r="O1773" s="37" t="s">
        <v>34</v>
      </c>
      <c r="P1773" s="47" t="str">
        <f>IF(AND('331-CT'!$F$5=TH!H1773,OR(N1773="331",O1773="331")),"x","")</f>
        <v/>
      </c>
      <c r="Q1773" s="47" t="str">
        <f>IF(AND(B1773='111'!$L$11,OR($N1773=$Q$7,$O1773=$Q$7)),"x","")</f>
        <v/>
      </c>
      <c r="R1773" s="47" t="str">
        <f>IF(AND($N1773=$Q$7,$B1773&lt;'111'!$L$11),"x","")</f>
        <v/>
      </c>
      <c r="S1773" s="47" t="str">
        <f>IF(AND($O1773=$Q$7,$B1773&lt;'111'!$L$11),"x","")</f>
        <v>x</v>
      </c>
    </row>
    <row r="1774" spans="1:19" ht="15.75" customHeight="1">
      <c r="A1774" s="152" t="str">
        <f>IF(B1774&lt;&gt;"",IF(AND(B1774='IN-TC'!$S$4,OR(TH!N1774="1111",TH!O1774="1111")),TH!D1774,""),"")</f>
        <v>C73</v>
      </c>
      <c r="B1774" s="34">
        <f t="shared" si="62"/>
        <v>10</v>
      </c>
      <c r="C1774" s="35">
        <f t="shared" si="63"/>
        <v>42654</v>
      </c>
      <c r="D1774" s="212" t="s">
        <v>942</v>
      </c>
      <c r="E1774" s="35">
        <v>42654</v>
      </c>
      <c r="F1774" s="144" t="s">
        <v>1424</v>
      </c>
      <c r="G1774" s="191"/>
      <c r="H1774" s="198"/>
      <c r="I1774" s="186"/>
      <c r="J1774" s="186"/>
      <c r="K1774" s="185"/>
      <c r="L1774" s="186"/>
      <c r="M1774" s="36">
        <v>33000</v>
      </c>
      <c r="N1774" s="37" t="s">
        <v>1425</v>
      </c>
      <c r="O1774" s="37" t="s">
        <v>34</v>
      </c>
      <c r="P1774" s="47" t="str">
        <f>IF(AND('331-CT'!$F$5=TH!H1774,OR(N1774="331",O1774="331")),"x","")</f>
        <v/>
      </c>
      <c r="Q1774" s="47" t="str">
        <f>IF(AND(B1774='111'!$L$11,OR($N1774=$Q$7,$O1774=$Q$7)),"x","")</f>
        <v/>
      </c>
      <c r="R1774" s="47" t="str">
        <f>IF(AND($N1774=$Q$7,$B1774&lt;'111'!$L$11),"x","")</f>
        <v/>
      </c>
      <c r="S1774" s="47" t="str">
        <f>IF(AND($O1774=$Q$7,$B1774&lt;'111'!$L$11),"x","")</f>
        <v>x</v>
      </c>
    </row>
    <row r="1775" spans="1:19" ht="15.75" customHeight="1">
      <c r="A1775" s="152" t="str">
        <f>IF(B1775&lt;&gt;"",IF(AND(B1775='IN-TC'!$S$4,OR(TH!N1775="1111",TH!O1775="1111")),TH!D1775,""),"")</f>
        <v>C74</v>
      </c>
      <c r="B1775" s="34">
        <f t="shared" si="62"/>
        <v>10</v>
      </c>
      <c r="C1775" s="35">
        <f t="shared" si="63"/>
        <v>42654</v>
      </c>
      <c r="D1775" s="212" t="s">
        <v>943</v>
      </c>
      <c r="E1775" s="35">
        <v>42654</v>
      </c>
      <c r="F1775" s="144" t="s">
        <v>1328</v>
      </c>
      <c r="G1775" s="191" t="s">
        <v>204</v>
      </c>
      <c r="H1775" s="198"/>
      <c r="I1775" s="186"/>
      <c r="J1775" s="186"/>
      <c r="K1775" s="185"/>
      <c r="L1775" s="186"/>
      <c r="M1775" s="36">
        <v>2300000</v>
      </c>
      <c r="N1775" s="37"/>
      <c r="O1775" s="37" t="s">
        <v>34</v>
      </c>
      <c r="P1775" s="47" t="str">
        <f>IF(AND('331-CT'!$F$5=TH!H1775,OR(N1775="331",O1775="331")),"x","")</f>
        <v/>
      </c>
      <c r="Q1775" s="47" t="str">
        <f>IF(AND(B1775='111'!$L$11,OR($N1775=$Q$7,$O1775=$Q$7)),"x","")</f>
        <v/>
      </c>
      <c r="R1775" s="47" t="str">
        <f>IF(AND($N1775=$Q$7,$B1775&lt;'111'!$L$11),"x","")</f>
        <v/>
      </c>
      <c r="S1775" s="47" t="str">
        <f>IF(AND($O1775=$Q$7,$B1775&lt;'111'!$L$11),"x","")</f>
        <v>x</v>
      </c>
    </row>
    <row r="1776" spans="1:19" ht="15.75" customHeight="1">
      <c r="A1776" s="152" t="str">
        <f>IF(B1776&lt;&gt;"",IF(AND(B1776='IN-TC'!$S$4,OR(TH!N1776="1111",TH!O1776="1111")),TH!D1776,""),"")</f>
        <v>C75</v>
      </c>
      <c r="B1776" s="34">
        <f t="shared" si="62"/>
        <v>10</v>
      </c>
      <c r="C1776" s="35">
        <f t="shared" si="63"/>
        <v>42654</v>
      </c>
      <c r="D1776" s="212" t="s">
        <v>944</v>
      </c>
      <c r="E1776" s="35">
        <v>42654</v>
      </c>
      <c r="F1776" s="144" t="s">
        <v>1327</v>
      </c>
      <c r="G1776" s="191" t="s">
        <v>204</v>
      </c>
      <c r="H1776" s="198"/>
      <c r="I1776" s="186"/>
      <c r="J1776" s="186"/>
      <c r="K1776" s="185"/>
      <c r="L1776" s="186"/>
      <c r="M1776" s="36">
        <v>3300000</v>
      </c>
      <c r="N1776" s="37"/>
      <c r="O1776" s="37" t="s">
        <v>34</v>
      </c>
      <c r="P1776" s="47" t="str">
        <f>IF(AND('331-CT'!$F$5=TH!H1776,OR(N1776="331",O1776="331")),"x","")</f>
        <v/>
      </c>
      <c r="Q1776" s="47" t="str">
        <f>IF(AND(B1776='111'!$L$11,OR($N1776=$Q$7,$O1776=$Q$7)),"x","")</f>
        <v/>
      </c>
      <c r="R1776" s="47" t="str">
        <f>IF(AND($N1776=$Q$7,$B1776&lt;'111'!$L$11),"x","")</f>
        <v/>
      </c>
      <c r="S1776" s="47" t="str">
        <f>IF(AND($O1776=$Q$7,$B1776&lt;'111'!$L$11),"x","")</f>
        <v>x</v>
      </c>
    </row>
    <row r="1777" spans="1:19" ht="15.75" customHeight="1">
      <c r="A1777" s="152" t="str">
        <f>IF(B1777&lt;&gt;"",IF(AND(B1777='IN-TC'!$S$4,OR(TH!N1777="1111",TH!O1777="1111")),TH!D1777,""),"")</f>
        <v>C76</v>
      </c>
      <c r="B1777" s="34">
        <f t="shared" si="62"/>
        <v>10</v>
      </c>
      <c r="C1777" s="35">
        <f t="shared" si="63"/>
        <v>42654</v>
      </c>
      <c r="D1777" s="212" t="s">
        <v>945</v>
      </c>
      <c r="E1777" s="35">
        <v>42654</v>
      </c>
      <c r="F1777" s="144" t="s">
        <v>266</v>
      </c>
      <c r="G1777" s="191"/>
      <c r="H1777" s="198"/>
      <c r="I1777" s="186"/>
      <c r="J1777" s="186"/>
      <c r="K1777" s="185"/>
      <c r="L1777" s="186"/>
      <c r="M1777" s="36">
        <v>930000</v>
      </c>
      <c r="N1777" s="37"/>
      <c r="O1777" s="37" t="s">
        <v>34</v>
      </c>
      <c r="P1777" s="47" t="str">
        <f>IF(AND('331-CT'!$F$5=TH!H1777,OR(N1777="331",O1777="331")),"x","")</f>
        <v/>
      </c>
      <c r="Q1777" s="47" t="str">
        <f>IF(AND(B1777='111'!$L$11,OR($N1777=$Q$7,$O1777=$Q$7)),"x","")</f>
        <v/>
      </c>
      <c r="R1777" s="47" t="str">
        <f>IF(AND($N1777=$Q$7,$B1777&lt;'111'!$L$11),"x","")</f>
        <v/>
      </c>
      <c r="S1777" s="47" t="str">
        <f>IF(AND($O1777=$Q$7,$B1777&lt;'111'!$L$11),"x","")</f>
        <v>x</v>
      </c>
    </row>
    <row r="1778" spans="1:19" ht="15.75" customHeight="1">
      <c r="A1778" s="152" t="str">
        <f>IF(B1778&lt;&gt;"",IF(AND(B1778='IN-TC'!$S$4,OR(TH!N1778="1111",TH!O1778="1111")),TH!D1778,""),"")</f>
        <v>C77</v>
      </c>
      <c r="B1778" s="34">
        <f t="shared" si="62"/>
        <v>10</v>
      </c>
      <c r="C1778" s="35">
        <f t="shared" si="63"/>
        <v>42654</v>
      </c>
      <c r="D1778" s="212" t="s">
        <v>946</v>
      </c>
      <c r="E1778" s="35">
        <v>42654</v>
      </c>
      <c r="F1778" s="144" t="s">
        <v>1206</v>
      </c>
      <c r="G1778" s="191" t="s">
        <v>204</v>
      </c>
      <c r="H1778" s="198"/>
      <c r="I1778" s="186"/>
      <c r="J1778" s="186"/>
      <c r="K1778" s="185"/>
      <c r="L1778" s="186"/>
      <c r="M1778" s="36">
        <v>5000000</v>
      </c>
      <c r="N1778" s="37"/>
      <c r="O1778" s="37" t="s">
        <v>34</v>
      </c>
      <c r="P1778" s="47" t="str">
        <f>IF(AND('331-CT'!$F$5=TH!H1778,OR(N1778="331",O1778="331")),"x","")</f>
        <v/>
      </c>
      <c r="Q1778" s="47" t="str">
        <f>IF(AND(B1778='111'!$L$11,OR($N1778=$Q$7,$O1778=$Q$7)),"x","")</f>
        <v/>
      </c>
      <c r="R1778" s="47" t="str">
        <f>IF(AND($N1778=$Q$7,$B1778&lt;'111'!$L$11),"x","")</f>
        <v/>
      </c>
      <c r="S1778" s="47" t="str">
        <f>IF(AND($O1778=$Q$7,$B1778&lt;'111'!$L$11),"x","")</f>
        <v>x</v>
      </c>
    </row>
    <row r="1779" spans="1:19" ht="15.75" customHeight="1">
      <c r="A1779" s="152" t="str">
        <f>IF(B1779&lt;&gt;"",IF(AND(B1779='IN-TC'!$S$4,OR(TH!N1779="1111",TH!O1779="1111")),TH!D1779,""),"")</f>
        <v>C78</v>
      </c>
      <c r="B1779" s="34">
        <f t="shared" si="62"/>
        <v>10</v>
      </c>
      <c r="C1779" s="35">
        <f t="shared" si="63"/>
        <v>42654</v>
      </c>
      <c r="D1779" s="212" t="s">
        <v>947</v>
      </c>
      <c r="E1779" s="35">
        <v>42654</v>
      </c>
      <c r="F1779" s="144" t="s">
        <v>1214</v>
      </c>
      <c r="G1779" s="191" t="s">
        <v>207</v>
      </c>
      <c r="H1779" s="198"/>
      <c r="I1779" s="186"/>
      <c r="J1779" s="186"/>
      <c r="K1779" s="185"/>
      <c r="L1779" s="186"/>
      <c r="M1779" s="36">
        <v>10000000</v>
      </c>
      <c r="N1779" s="37"/>
      <c r="O1779" s="37" t="s">
        <v>34</v>
      </c>
      <c r="P1779" s="47" t="str">
        <f>IF(AND('331-CT'!$F$5=TH!H1779,OR(N1779="331",O1779="331")),"x","")</f>
        <v/>
      </c>
      <c r="Q1779" s="47" t="str">
        <f>IF(AND(B1779='111'!$L$11,OR($N1779=$Q$7,$O1779=$Q$7)),"x","")</f>
        <v/>
      </c>
      <c r="R1779" s="47" t="str">
        <f>IF(AND($N1779=$Q$7,$B1779&lt;'111'!$L$11),"x","")</f>
        <v/>
      </c>
      <c r="S1779" s="47" t="str">
        <f>IF(AND($O1779=$Q$7,$B1779&lt;'111'!$L$11),"x","")</f>
        <v>x</v>
      </c>
    </row>
    <row r="1780" spans="1:19" ht="15.75" customHeight="1">
      <c r="A1780" s="152" t="str">
        <f>IF(B1780&lt;&gt;"",IF(AND(B1780='IN-TC'!$S$4,OR(TH!N1780="1111",TH!O1780="1111")),TH!D1780,""),"")</f>
        <v/>
      </c>
      <c r="B1780" s="34">
        <f t="shared" si="62"/>
        <v>10</v>
      </c>
      <c r="C1780" s="35">
        <f t="shared" si="63"/>
        <v>42654</v>
      </c>
      <c r="D1780" s="212"/>
      <c r="E1780" s="35">
        <v>42654</v>
      </c>
      <c r="F1780" s="144" t="s">
        <v>1441</v>
      </c>
      <c r="G1780" s="191"/>
      <c r="H1780" s="198" t="s">
        <v>839</v>
      </c>
      <c r="I1780" s="186">
        <v>2198</v>
      </c>
      <c r="J1780" s="186">
        <v>100000</v>
      </c>
      <c r="K1780" s="185"/>
      <c r="L1780" s="186"/>
      <c r="M1780" s="36">
        <f>ROUND(I1780*J1780,0)</f>
        <v>219800000</v>
      </c>
      <c r="N1780" s="37" t="s">
        <v>1443</v>
      </c>
      <c r="O1780" s="37" t="s">
        <v>8</v>
      </c>
      <c r="P1780" s="47" t="str">
        <f>IF(AND('331-CT'!$F$5=TH!H1780,OR(N1780="331",O1780="331")),"x","")</f>
        <v/>
      </c>
      <c r="Q1780" s="47" t="str">
        <f>IF(AND(B1780='111'!$L$11,OR($N1780=$Q$7,$O1780=$Q$7)),"x","")</f>
        <v/>
      </c>
      <c r="R1780" s="47" t="str">
        <f>IF(AND($N1780=$Q$7,$B1780&lt;'111'!$L$11),"x","")</f>
        <v/>
      </c>
      <c r="S1780" s="47" t="str">
        <f>IF(AND($O1780=$Q$7,$B1780&lt;'111'!$L$11),"x","")</f>
        <v/>
      </c>
    </row>
    <row r="1781" spans="1:19" ht="15.75" customHeight="1">
      <c r="A1781" s="152" t="str">
        <f>IF(B1781&lt;&gt;"",IF(AND(B1781='IN-TC'!$S$4,OR(TH!N1781="1111",TH!O1781="1111")),TH!D1781,""),"")</f>
        <v/>
      </c>
      <c r="B1781" s="34">
        <f t="shared" si="62"/>
        <v>10</v>
      </c>
      <c r="C1781" s="35">
        <f t="shared" si="63"/>
        <v>42654</v>
      </c>
      <c r="D1781" s="212"/>
      <c r="E1781" s="35">
        <v>42654</v>
      </c>
      <c r="F1781" s="144" t="s">
        <v>1442</v>
      </c>
      <c r="G1781" s="191"/>
      <c r="H1781" s="198" t="s">
        <v>839</v>
      </c>
      <c r="I1781" s="186">
        <v>52</v>
      </c>
      <c r="J1781" s="186">
        <v>60000</v>
      </c>
      <c r="K1781" s="185"/>
      <c r="L1781" s="186"/>
      <c r="M1781" s="36">
        <f>ROUND(I1781*J1781,0)</f>
        <v>3120000</v>
      </c>
      <c r="N1781" s="37" t="s">
        <v>1443</v>
      </c>
      <c r="O1781" s="37" t="s">
        <v>8</v>
      </c>
      <c r="P1781" s="47" t="str">
        <f>IF(AND('331-CT'!$F$5=TH!H1781,OR(N1781="331",O1781="331")),"x","")</f>
        <v/>
      </c>
      <c r="Q1781" s="47" t="str">
        <f>IF(AND(B1781='111'!$L$11,OR($N1781=$Q$7,$O1781=$Q$7)),"x","")</f>
        <v/>
      </c>
      <c r="R1781" s="47" t="str">
        <f>IF(AND($N1781=$Q$7,$B1781&lt;'111'!$L$11),"x","")</f>
        <v/>
      </c>
      <c r="S1781" s="47" t="str">
        <f>IF(AND($O1781=$Q$7,$B1781&lt;'111'!$L$11),"x","")</f>
        <v/>
      </c>
    </row>
    <row r="1782" spans="1:19" ht="15.75" customHeight="1">
      <c r="A1782" s="152" t="str">
        <f>IF(B1782&lt;&gt;"",IF(AND(B1782='IN-TC'!$S$4,OR(TH!N1782="1111",TH!O1782="1111")),TH!D1782,""),"")</f>
        <v/>
      </c>
      <c r="B1782" s="34">
        <f t="shared" si="62"/>
        <v>10</v>
      </c>
      <c r="C1782" s="35">
        <f t="shared" si="63"/>
        <v>42654</v>
      </c>
      <c r="D1782" s="212"/>
      <c r="E1782" s="35">
        <v>42654</v>
      </c>
      <c r="F1782" s="144" t="s">
        <v>1451</v>
      </c>
      <c r="G1782" s="191"/>
      <c r="H1782" s="198" t="s">
        <v>1421</v>
      </c>
      <c r="I1782" s="186">
        <v>3905.5</v>
      </c>
      <c r="J1782" s="186">
        <v>11000</v>
      </c>
      <c r="K1782" s="185"/>
      <c r="L1782" s="186"/>
      <c r="M1782" s="36">
        <f>ROUND(I1782*J1782,-3)</f>
        <v>42961000</v>
      </c>
      <c r="N1782" s="37" t="s">
        <v>1443</v>
      </c>
      <c r="O1782" s="37" t="s">
        <v>8</v>
      </c>
      <c r="P1782" s="47" t="str">
        <f>IF(AND('331-CT'!$F$5=TH!H1782,OR(N1782="331",O1782="331")),"x","")</f>
        <v/>
      </c>
      <c r="Q1782" s="47" t="str">
        <f>IF(AND(B1782='111'!$L$11,OR($N1782=$Q$7,$O1782=$Q$7)),"x","")</f>
        <v/>
      </c>
      <c r="R1782" s="47" t="str">
        <f>IF(AND($N1782=$Q$7,$B1782&lt;'111'!$L$11),"x","")</f>
        <v/>
      </c>
      <c r="S1782" s="47" t="str">
        <f>IF(AND($O1782=$Q$7,$B1782&lt;'111'!$L$11),"x","")</f>
        <v/>
      </c>
    </row>
    <row r="1783" spans="1:19" ht="15.75" customHeight="1">
      <c r="A1783" s="152" t="str">
        <f>IF(B1783&lt;&gt;"",IF(AND(B1783='IN-TC'!$S$4,OR(TH!N1783="1111",TH!O1783="1111")),TH!D1783,""),"")</f>
        <v>C79</v>
      </c>
      <c r="B1783" s="34">
        <f t="shared" si="62"/>
        <v>10</v>
      </c>
      <c r="C1783" s="35">
        <f t="shared" si="63"/>
        <v>42655</v>
      </c>
      <c r="D1783" s="212" t="s">
        <v>948</v>
      </c>
      <c r="E1783" s="35">
        <v>42655</v>
      </c>
      <c r="F1783" s="144" t="s">
        <v>1329</v>
      </c>
      <c r="G1783" s="191"/>
      <c r="H1783" s="198"/>
      <c r="I1783" s="186"/>
      <c r="J1783" s="186"/>
      <c r="K1783" s="185"/>
      <c r="L1783" s="186"/>
      <c r="M1783" s="36">
        <v>17655000</v>
      </c>
      <c r="N1783" s="37"/>
      <c r="O1783" s="37" t="s">
        <v>34</v>
      </c>
      <c r="P1783" s="47" t="str">
        <f>IF(AND('331-CT'!$F$5=TH!H1783,OR(N1783="331",O1783="331")),"x","")</f>
        <v/>
      </c>
      <c r="Q1783" s="47" t="str">
        <f>IF(AND(B1783='111'!$L$11,OR($N1783=$Q$7,$O1783=$Q$7)),"x","")</f>
        <v/>
      </c>
      <c r="R1783" s="47" t="str">
        <f>IF(AND($N1783=$Q$7,$B1783&lt;'111'!$L$11),"x","")</f>
        <v/>
      </c>
      <c r="S1783" s="47" t="str">
        <f>IF(AND($O1783=$Q$7,$B1783&lt;'111'!$L$11),"x","")</f>
        <v>x</v>
      </c>
    </row>
    <row r="1784" spans="1:19" ht="15.75" customHeight="1">
      <c r="A1784" s="152" t="str">
        <f>IF(B1784&lt;&gt;"",IF(AND(B1784='IN-TC'!$S$4,OR(TH!N1784="1111",TH!O1784="1111")),TH!D1784,""),"")</f>
        <v>T12</v>
      </c>
      <c r="B1784" s="34">
        <f t="shared" si="62"/>
        <v>10</v>
      </c>
      <c r="C1784" s="35">
        <f t="shared" si="63"/>
        <v>42655</v>
      </c>
      <c r="D1784" s="212" t="s">
        <v>1029</v>
      </c>
      <c r="E1784" s="35">
        <v>42655</v>
      </c>
      <c r="F1784" s="144" t="s">
        <v>1241</v>
      </c>
      <c r="G1784" s="191" t="s">
        <v>115</v>
      </c>
      <c r="H1784" s="198"/>
      <c r="I1784" s="186"/>
      <c r="J1784" s="186"/>
      <c r="K1784" s="185"/>
      <c r="L1784" s="186"/>
      <c r="M1784" s="36">
        <v>17000000</v>
      </c>
      <c r="N1784" s="37" t="s">
        <v>34</v>
      </c>
      <c r="O1784" s="37"/>
      <c r="P1784" s="47" t="str">
        <f>IF(AND('331-CT'!$F$5=TH!H1784,OR(N1784="331",O1784="331")),"x","")</f>
        <v/>
      </c>
      <c r="Q1784" s="47" t="str">
        <f>IF(AND(B1784='111'!$L$11,OR($N1784=$Q$7,$O1784=$Q$7)),"x","")</f>
        <v/>
      </c>
      <c r="R1784" s="47" t="str">
        <f>IF(AND($N1784=$Q$7,$B1784&lt;'111'!$L$11),"x","")</f>
        <v>x</v>
      </c>
      <c r="S1784" s="47" t="str">
        <f>IF(AND($O1784=$Q$7,$B1784&lt;'111'!$L$11),"x","")</f>
        <v/>
      </c>
    </row>
    <row r="1785" spans="1:19" ht="15.75" customHeight="1">
      <c r="A1785" s="152" t="str">
        <f>IF(B1785&lt;&gt;"",IF(AND(B1785='IN-TC'!$S$4,OR(TH!N1785="1111",TH!O1785="1111")),TH!D1785,""),"")</f>
        <v>C80</v>
      </c>
      <c r="B1785" s="34">
        <f t="shared" si="62"/>
        <v>10</v>
      </c>
      <c r="C1785" s="35">
        <f t="shared" si="63"/>
        <v>42655</v>
      </c>
      <c r="D1785" s="212" t="s">
        <v>949</v>
      </c>
      <c r="E1785" s="35">
        <v>42655</v>
      </c>
      <c r="F1785" s="144" t="s">
        <v>1330</v>
      </c>
      <c r="G1785" s="191"/>
      <c r="H1785" s="198"/>
      <c r="I1785" s="186"/>
      <c r="J1785" s="186"/>
      <c r="K1785" s="185"/>
      <c r="L1785" s="186"/>
      <c r="M1785" s="36">
        <v>22300000</v>
      </c>
      <c r="N1785" s="37"/>
      <c r="O1785" s="37" t="s">
        <v>34</v>
      </c>
      <c r="P1785" s="47" t="str">
        <f>IF(AND('331-CT'!$F$5=TH!H1785,OR(N1785="331",O1785="331")),"x","")</f>
        <v/>
      </c>
      <c r="Q1785" s="47" t="str">
        <f>IF(AND(B1785='111'!$L$11,OR($N1785=$Q$7,$O1785=$Q$7)),"x","")</f>
        <v/>
      </c>
      <c r="R1785" s="47" t="str">
        <f>IF(AND($N1785=$Q$7,$B1785&lt;'111'!$L$11),"x","")</f>
        <v/>
      </c>
      <c r="S1785" s="47" t="str">
        <f>IF(AND($O1785=$Q$7,$B1785&lt;'111'!$L$11),"x","")</f>
        <v>x</v>
      </c>
    </row>
    <row r="1786" spans="1:19" ht="15.75" customHeight="1">
      <c r="A1786" s="152" t="str">
        <f>IF(B1786&lt;&gt;"",IF(AND(B1786='IN-TC'!$S$4,OR(TH!N1786="1111",TH!O1786="1111")),TH!D1786,""),"")</f>
        <v>C81</v>
      </c>
      <c r="B1786" s="34">
        <f t="shared" si="62"/>
        <v>10</v>
      </c>
      <c r="C1786" s="35">
        <f t="shared" si="63"/>
        <v>42655</v>
      </c>
      <c r="D1786" s="212" t="s">
        <v>950</v>
      </c>
      <c r="E1786" s="35">
        <v>42655</v>
      </c>
      <c r="F1786" s="144" t="s">
        <v>1331</v>
      </c>
      <c r="G1786" s="191"/>
      <c r="H1786" s="198"/>
      <c r="I1786" s="186"/>
      <c r="J1786" s="186"/>
      <c r="K1786" s="185"/>
      <c r="L1786" s="186"/>
      <c r="M1786" s="36">
        <v>2140000</v>
      </c>
      <c r="N1786" s="37"/>
      <c r="O1786" s="37" t="s">
        <v>34</v>
      </c>
      <c r="P1786" s="47" t="str">
        <f>IF(AND('331-CT'!$F$5=TH!H1786,OR(N1786="331",O1786="331")),"x","")</f>
        <v/>
      </c>
      <c r="Q1786" s="47" t="str">
        <f>IF(AND(B1786='111'!$L$11,OR($N1786=$Q$7,$O1786=$Q$7)),"x","")</f>
        <v/>
      </c>
      <c r="R1786" s="47" t="str">
        <f>IF(AND($N1786=$Q$7,$B1786&lt;'111'!$L$11),"x","")</f>
        <v/>
      </c>
      <c r="S1786" s="47" t="str">
        <f>IF(AND($O1786=$Q$7,$B1786&lt;'111'!$L$11),"x","")</f>
        <v>x</v>
      </c>
    </row>
    <row r="1787" spans="1:19" ht="15.75" customHeight="1">
      <c r="A1787" s="152" t="str">
        <f>IF(B1787&lt;&gt;"",IF(AND(B1787='IN-TC'!$S$4,OR(TH!N1787="1111",TH!O1787="1111")),TH!D1787,""),"")</f>
        <v/>
      </c>
      <c r="B1787" s="34">
        <f t="shared" si="62"/>
        <v>10</v>
      </c>
      <c r="C1787" s="35">
        <f t="shared" si="63"/>
        <v>42655</v>
      </c>
      <c r="D1787" s="212"/>
      <c r="E1787" s="35">
        <v>42655</v>
      </c>
      <c r="F1787" s="144" t="s">
        <v>1441</v>
      </c>
      <c r="G1787" s="191"/>
      <c r="H1787" s="198" t="s">
        <v>849</v>
      </c>
      <c r="I1787" s="186">
        <v>1005</v>
      </c>
      <c r="J1787" s="186">
        <v>102000</v>
      </c>
      <c r="K1787" s="185"/>
      <c r="L1787" s="186"/>
      <c r="M1787" s="36">
        <f>ROUND(I1787*J1787,0)</f>
        <v>102510000</v>
      </c>
      <c r="N1787" s="37" t="s">
        <v>1443</v>
      </c>
      <c r="O1787" s="37" t="s">
        <v>8</v>
      </c>
      <c r="P1787" s="47" t="str">
        <f>IF(AND('331-CT'!$F$5=TH!H1787,OR(N1787="331",O1787="331")),"x","")</f>
        <v/>
      </c>
      <c r="Q1787" s="47" t="str">
        <f>IF(AND(B1787='111'!$L$11,OR($N1787=$Q$7,$O1787=$Q$7)),"x","")</f>
        <v/>
      </c>
      <c r="R1787" s="47" t="str">
        <f>IF(AND($N1787=$Q$7,$B1787&lt;'111'!$L$11),"x","")</f>
        <v/>
      </c>
      <c r="S1787" s="47" t="str">
        <f>IF(AND($O1787=$Q$7,$B1787&lt;'111'!$L$11),"x","")</f>
        <v/>
      </c>
    </row>
    <row r="1788" spans="1:19" ht="15.75" customHeight="1">
      <c r="A1788" s="152" t="str">
        <f>IF(B1788&lt;&gt;"",IF(AND(B1788='IN-TC'!$S$4,OR(TH!N1788="1111",TH!O1788="1111")),TH!D1788,""),"")</f>
        <v/>
      </c>
      <c r="B1788" s="34">
        <f t="shared" si="62"/>
        <v>10</v>
      </c>
      <c r="C1788" s="35">
        <f t="shared" si="63"/>
        <v>42655</v>
      </c>
      <c r="D1788" s="212"/>
      <c r="E1788" s="35">
        <v>42655</v>
      </c>
      <c r="F1788" s="144" t="s">
        <v>1467</v>
      </c>
      <c r="G1788" s="191"/>
      <c r="H1788" s="198" t="s">
        <v>831</v>
      </c>
      <c r="I1788" s="186">
        <v>630</v>
      </c>
      <c r="J1788" s="186">
        <v>12000</v>
      </c>
      <c r="K1788" s="185"/>
      <c r="L1788" s="186"/>
      <c r="M1788" s="36">
        <f>ROUND(I1788*J1788,0)</f>
        <v>7560000</v>
      </c>
      <c r="N1788" s="37" t="s">
        <v>1443</v>
      </c>
      <c r="O1788" s="37" t="s">
        <v>8</v>
      </c>
      <c r="P1788" s="47" t="str">
        <f>IF(AND('331-CT'!$F$5=TH!H1788,OR(N1788="331",O1788="331")),"x","")</f>
        <v/>
      </c>
      <c r="Q1788" s="47" t="str">
        <f>IF(AND(B1788='111'!$L$11,OR($N1788=$Q$7,$O1788=$Q$7)),"x","")</f>
        <v/>
      </c>
      <c r="R1788" s="47" t="str">
        <f>IF(AND($N1788=$Q$7,$B1788&lt;'111'!$L$11),"x","")</f>
        <v/>
      </c>
      <c r="S1788" s="47" t="str">
        <f>IF(AND($O1788=$Q$7,$B1788&lt;'111'!$L$11),"x","")</f>
        <v/>
      </c>
    </row>
    <row r="1789" spans="1:19" ht="15.75" customHeight="1">
      <c r="A1789" s="152" t="str">
        <f>IF(B1789&lt;&gt;"",IF(AND(B1789='IN-TC'!$S$4,OR(TH!N1789="1111",TH!O1789="1111")),TH!D1789,""),"")</f>
        <v>C82</v>
      </c>
      <c r="B1789" s="34">
        <f t="shared" si="62"/>
        <v>10</v>
      </c>
      <c r="C1789" s="35">
        <f t="shared" si="63"/>
        <v>42656</v>
      </c>
      <c r="D1789" s="212" t="s">
        <v>951</v>
      </c>
      <c r="E1789" s="35">
        <v>42656</v>
      </c>
      <c r="F1789" s="144" t="s">
        <v>1332</v>
      </c>
      <c r="G1789" s="191" t="s">
        <v>207</v>
      </c>
      <c r="H1789" s="198"/>
      <c r="I1789" s="186"/>
      <c r="J1789" s="186"/>
      <c r="K1789" s="185"/>
      <c r="L1789" s="186"/>
      <c r="M1789" s="36">
        <v>1434000</v>
      </c>
      <c r="N1789" s="37"/>
      <c r="O1789" s="37" t="s">
        <v>34</v>
      </c>
      <c r="P1789" s="47" t="str">
        <f>IF(AND('331-CT'!$F$5=TH!H1789,OR(N1789="331",O1789="331")),"x","")</f>
        <v/>
      </c>
      <c r="Q1789" s="47" t="str">
        <f>IF(AND(B1789='111'!$L$11,OR($N1789=$Q$7,$O1789=$Q$7)),"x","")</f>
        <v/>
      </c>
      <c r="R1789" s="47" t="str">
        <f>IF(AND($N1789=$Q$7,$B1789&lt;'111'!$L$11),"x","")</f>
        <v/>
      </c>
      <c r="S1789" s="47" t="str">
        <f>IF(AND($O1789=$Q$7,$B1789&lt;'111'!$L$11),"x","")</f>
        <v>x</v>
      </c>
    </row>
    <row r="1790" spans="1:19" ht="15.75" customHeight="1">
      <c r="A1790" s="152" t="str">
        <f>IF(B1790&lt;&gt;"",IF(AND(B1790='IN-TC'!$S$4,OR(TH!N1790="1111",TH!O1790="1111")),TH!D1790,""),"")</f>
        <v>C83</v>
      </c>
      <c r="B1790" s="34">
        <f t="shared" si="62"/>
        <v>10</v>
      </c>
      <c r="C1790" s="35">
        <f t="shared" si="63"/>
        <v>42656</v>
      </c>
      <c r="D1790" s="212" t="s">
        <v>952</v>
      </c>
      <c r="E1790" s="35">
        <v>42656</v>
      </c>
      <c r="F1790" s="144" t="s">
        <v>722</v>
      </c>
      <c r="G1790" s="191"/>
      <c r="H1790" s="198"/>
      <c r="I1790" s="186"/>
      <c r="J1790" s="186"/>
      <c r="K1790" s="185"/>
      <c r="L1790" s="186"/>
      <c r="M1790" s="36">
        <v>1312000</v>
      </c>
      <c r="N1790" s="37"/>
      <c r="O1790" s="37" t="s">
        <v>34</v>
      </c>
      <c r="P1790" s="47" t="str">
        <f>IF(AND('331-CT'!$F$5=TH!H1790,OR(N1790="331",O1790="331")),"x","")</f>
        <v/>
      </c>
      <c r="Q1790" s="47" t="str">
        <f>IF(AND(B1790='111'!$L$11,OR($N1790=$Q$7,$O1790=$Q$7)),"x","")</f>
        <v/>
      </c>
      <c r="R1790" s="47" t="str">
        <f>IF(AND($N1790=$Q$7,$B1790&lt;'111'!$L$11),"x","")</f>
        <v/>
      </c>
      <c r="S1790" s="47" t="str">
        <f>IF(AND($O1790=$Q$7,$B1790&lt;'111'!$L$11),"x","")</f>
        <v>x</v>
      </c>
    </row>
    <row r="1791" spans="1:19" ht="15.75" customHeight="1">
      <c r="A1791" s="152" t="str">
        <f>IF(B1791&lt;&gt;"",IF(AND(B1791='IN-TC'!$S$4,OR(TH!N1791="1111",TH!O1791="1111")),TH!D1791,""),"")</f>
        <v>C84</v>
      </c>
      <c r="B1791" s="34">
        <f t="shared" si="62"/>
        <v>10</v>
      </c>
      <c r="C1791" s="35">
        <f t="shared" si="63"/>
        <v>42656</v>
      </c>
      <c r="D1791" s="212" t="s">
        <v>953</v>
      </c>
      <c r="E1791" s="35">
        <v>42656</v>
      </c>
      <c r="F1791" s="144" t="s">
        <v>1333</v>
      </c>
      <c r="G1791" s="191" t="s">
        <v>213</v>
      </c>
      <c r="H1791" s="198" t="s">
        <v>1088</v>
      </c>
      <c r="I1791" s="186"/>
      <c r="J1791" s="186"/>
      <c r="K1791" s="185"/>
      <c r="L1791" s="186"/>
      <c r="M1791" s="36">
        <v>9165000</v>
      </c>
      <c r="N1791" s="37"/>
      <c r="O1791" s="37" t="s">
        <v>34</v>
      </c>
      <c r="P1791" s="47" t="str">
        <f>IF(AND('331-CT'!$F$5=TH!H1791,OR(N1791="331",O1791="331")),"x","")</f>
        <v/>
      </c>
      <c r="Q1791" s="47" t="str">
        <f>IF(AND(B1791='111'!$L$11,OR($N1791=$Q$7,$O1791=$Q$7)),"x","")</f>
        <v/>
      </c>
      <c r="R1791" s="47" t="str">
        <f>IF(AND($N1791=$Q$7,$B1791&lt;'111'!$L$11),"x","")</f>
        <v/>
      </c>
      <c r="S1791" s="47" t="str">
        <f>IF(AND($O1791=$Q$7,$B1791&lt;'111'!$L$11),"x","")</f>
        <v>x</v>
      </c>
    </row>
    <row r="1792" spans="1:19" ht="15.75" customHeight="1">
      <c r="A1792" s="152" t="str">
        <f>IF(B1792&lt;&gt;"",IF(AND(B1792='IN-TC'!$S$4,OR(TH!N1792="1111",TH!O1792="1111")),TH!D1792,""),"")</f>
        <v>C85</v>
      </c>
      <c r="B1792" s="34">
        <f t="shared" si="62"/>
        <v>10</v>
      </c>
      <c r="C1792" s="35">
        <f t="shared" si="63"/>
        <v>42656</v>
      </c>
      <c r="D1792" s="212" t="s">
        <v>954</v>
      </c>
      <c r="E1792" s="35">
        <v>42656</v>
      </c>
      <c r="F1792" s="144" t="s">
        <v>1234</v>
      </c>
      <c r="G1792" s="191"/>
      <c r="H1792" s="198"/>
      <c r="I1792" s="186"/>
      <c r="J1792" s="186"/>
      <c r="K1792" s="185"/>
      <c r="L1792" s="186"/>
      <c r="M1792" s="36">
        <v>926000</v>
      </c>
      <c r="N1792" s="37"/>
      <c r="O1792" s="37" t="s">
        <v>34</v>
      </c>
      <c r="P1792" s="47" t="str">
        <f>IF(AND('331-CT'!$F$5=TH!H1792,OR(N1792="331",O1792="331")),"x","")</f>
        <v/>
      </c>
      <c r="Q1792" s="47" t="str">
        <f>IF(AND(B1792='111'!$L$11,OR($N1792=$Q$7,$O1792=$Q$7)),"x","")</f>
        <v/>
      </c>
      <c r="R1792" s="47" t="str">
        <f>IF(AND($N1792=$Q$7,$B1792&lt;'111'!$L$11),"x","")</f>
        <v/>
      </c>
      <c r="S1792" s="47" t="str">
        <f>IF(AND($O1792=$Q$7,$B1792&lt;'111'!$L$11),"x","")</f>
        <v>x</v>
      </c>
    </row>
    <row r="1793" spans="1:19" ht="15.75" customHeight="1">
      <c r="A1793" s="152" t="str">
        <f>IF(B1793&lt;&gt;"",IF(AND(B1793='IN-TC'!$S$4,OR(TH!N1793="1111",TH!O1793="1111")),TH!D1793,""),"")</f>
        <v>C86</v>
      </c>
      <c r="B1793" s="34">
        <f t="shared" si="62"/>
        <v>10</v>
      </c>
      <c r="C1793" s="35">
        <f t="shared" si="63"/>
        <v>42656</v>
      </c>
      <c r="D1793" s="212" t="s">
        <v>955</v>
      </c>
      <c r="E1793" s="35">
        <v>42656</v>
      </c>
      <c r="F1793" s="144" t="s">
        <v>1334</v>
      </c>
      <c r="G1793" s="191" t="s">
        <v>204</v>
      </c>
      <c r="H1793" s="198"/>
      <c r="I1793" s="186"/>
      <c r="J1793" s="186"/>
      <c r="K1793" s="185"/>
      <c r="L1793" s="186"/>
      <c r="M1793" s="36">
        <v>11600000</v>
      </c>
      <c r="N1793" s="37"/>
      <c r="O1793" s="37" t="s">
        <v>34</v>
      </c>
      <c r="P1793" s="47" t="str">
        <f>IF(AND('331-CT'!$F$5=TH!H1793,OR(N1793="331",O1793="331")),"x","")</f>
        <v/>
      </c>
      <c r="Q1793" s="47" t="str">
        <f>IF(AND(B1793='111'!$L$11,OR($N1793=$Q$7,$O1793=$Q$7)),"x","")</f>
        <v/>
      </c>
      <c r="R1793" s="47" t="str">
        <f>IF(AND($N1793=$Q$7,$B1793&lt;'111'!$L$11),"x","")</f>
        <v/>
      </c>
      <c r="S1793" s="47" t="str">
        <f>IF(AND($O1793=$Q$7,$B1793&lt;'111'!$L$11),"x","")</f>
        <v>x</v>
      </c>
    </row>
    <row r="1794" spans="1:19" ht="15.75" customHeight="1">
      <c r="A1794" s="152" t="str">
        <f>IF(B1794&lt;&gt;"",IF(AND(B1794='IN-TC'!$S$4,OR(TH!N1794="1111",TH!O1794="1111")),TH!D1794,""),"")</f>
        <v/>
      </c>
      <c r="B1794" s="34">
        <f t="shared" si="62"/>
        <v>10</v>
      </c>
      <c r="C1794" s="35">
        <f t="shared" si="63"/>
        <v>42656</v>
      </c>
      <c r="D1794" s="212"/>
      <c r="E1794" s="35">
        <v>42656</v>
      </c>
      <c r="F1794" s="144" t="s">
        <v>1441</v>
      </c>
      <c r="G1794" s="191"/>
      <c r="H1794" s="198" t="s">
        <v>849</v>
      </c>
      <c r="I1794" s="186">
        <v>1170</v>
      </c>
      <c r="J1794" s="186">
        <v>102000</v>
      </c>
      <c r="K1794" s="185"/>
      <c r="L1794" s="186"/>
      <c r="M1794" s="36">
        <f>ROUND(I1794*J1794,0)</f>
        <v>119340000</v>
      </c>
      <c r="N1794" s="37" t="s">
        <v>1443</v>
      </c>
      <c r="O1794" s="37" t="s">
        <v>8</v>
      </c>
      <c r="P1794" s="47" t="str">
        <f>IF(AND('331-CT'!$F$5=TH!H1794,OR(N1794="331",O1794="331")),"x","")</f>
        <v/>
      </c>
      <c r="Q1794" s="47" t="str">
        <f>IF(AND(B1794='111'!$L$11,OR($N1794=$Q$7,$O1794=$Q$7)),"x","")</f>
        <v/>
      </c>
      <c r="R1794" s="47" t="str">
        <f>IF(AND($N1794=$Q$7,$B1794&lt;'111'!$L$11),"x","")</f>
        <v/>
      </c>
      <c r="S1794" s="47" t="str">
        <f>IF(AND($O1794=$Q$7,$B1794&lt;'111'!$L$11),"x","")</f>
        <v/>
      </c>
    </row>
    <row r="1795" spans="1:19" ht="15.75" customHeight="1">
      <c r="A1795" s="152" t="str">
        <f>IF(B1795&lt;&gt;"",IF(AND(B1795='IN-TC'!$S$4,OR(TH!N1795="1111",TH!O1795="1111")),TH!D1795,""),"")</f>
        <v/>
      </c>
      <c r="B1795" s="34">
        <f t="shared" si="62"/>
        <v>10</v>
      </c>
      <c r="C1795" s="35">
        <f t="shared" si="63"/>
        <v>42656</v>
      </c>
      <c r="D1795" s="212"/>
      <c r="E1795" s="35">
        <v>42656</v>
      </c>
      <c r="F1795" s="144" t="s">
        <v>1450</v>
      </c>
      <c r="G1795" s="191"/>
      <c r="H1795" s="198" t="s">
        <v>849</v>
      </c>
      <c r="I1795" s="186">
        <v>4260</v>
      </c>
      <c r="J1795" s="186">
        <v>61000</v>
      </c>
      <c r="K1795" s="185"/>
      <c r="L1795" s="186"/>
      <c r="M1795" s="36">
        <f>ROUND(I1795*J1795,0)</f>
        <v>259860000</v>
      </c>
      <c r="N1795" s="37" t="s">
        <v>1443</v>
      </c>
      <c r="O1795" s="37" t="s">
        <v>8</v>
      </c>
      <c r="P1795" s="47" t="str">
        <f>IF(AND('331-CT'!$F$5=TH!H1795,OR(N1795="331",O1795="331")),"x","")</f>
        <v/>
      </c>
      <c r="Q1795" s="47" t="str">
        <f>IF(AND(B1795='111'!$L$11,OR($N1795=$Q$7,$O1795=$Q$7)),"x","")</f>
        <v/>
      </c>
      <c r="R1795" s="47" t="str">
        <f>IF(AND($N1795=$Q$7,$B1795&lt;'111'!$L$11),"x","")</f>
        <v/>
      </c>
      <c r="S1795" s="47" t="str">
        <f>IF(AND($O1795=$Q$7,$B1795&lt;'111'!$L$11),"x","")</f>
        <v/>
      </c>
    </row>
    <row r="1796" spans="1:19" ht="15.75" customHeight="1">
      <c r="A1796" s="152" t="str">
        <f>IF(B1796&lt;&gt;"",IF(AND(B1796='IN-TC'!$S$4,OR(TH!N1796="1111",TH!O1796="1111")),TH!D1796,""),"")</f>
        <v>C87</v>
      </c>
      <c r="B1796" s="34">
        <f t="shared" si="62"/>
        <v>10</v>
      </c>
      <c r="C1796" s="35">
        <f t="shared" si="63"/>
        <v>42657</v>
      </c>
      <c r="D1796" s="212" t="s">
        <v>956</v>
      </c>
      <c r="E1796" s="35">
        <v>42657</v>
      </c>
      <c r="F1796" s="144" t="s">
        <v>1335</v>
      </c>
      <c r="G1796" s="191"/>
      <c r="H1796" s="198"/>
      <c r="I1796" s="186"/>
      <c r="J1796" s="186"/>
      <c r="K1796" s="185"/>
      <c r="L1796" s="186"/>
      <c r="M1796" s="36">
        <v>1000000</v>
      </c>
      <c r="N1796" s="37"/>
      <c r="O1796" s="37" t="s">
        <v>34</v>
      </c>
      <c r="P1796" s="47" t="str">
        <f>IF(AND('331-CT'!$F$5=TH!H1796,OR(N1796="331",O1796="331")),"x","")</f>
        <v/>
      </c>
      <c r="Q1796" s="47" t="str">
        <f>IF(AND(B1796='111'!$L$11,OR($N1796=$Q$7,$O1796=$Q$7)),"x","")</f>
        <v/>
      </c>
      <c r="R1796" s="47" t="str">
        <f>IF(AND($N1796=$Q$7,$B1796&lt;'111'!$L$11),"x","")</f>
        <v/>
      </c>
      <c r="S1796" s="47" t="str">
        <f>IF(AND($O1796=$Q$7,$B1796&lt;'111'!$L$11),"x","")</f>
        <v>x</v>
      </c>
    </row>
    <row r="1797" spans="1:19" ht="15.75" customHeight="1">
      <c r="A1797" s="152" t="str">
        <f>IF(B1797&lt;&gt;"",IF(AND(B1797='IN-TC'!$S$4,OR(TH!N1797="1111",TH!O1797="1111")),TH!D1797,""),"")</f>
        <v>C88</v>
      </c>
      <c r="B1797" s="34">
        <f t="shared" si="62"/>
        <v>10</v>
      </c>
      <c r="C1797" s="35">
        <f t="shared" si="63"/>
        <v>42657</v>
      </c>
      <c r="D1797" s="212" t="s">
        <v>957</v>
      </c>
      <c r="E1797" s="35">
        <v>42657</v>
      </c>
      <c r="F1797" s="144" t="s">
        <v>1336</v>
      </c>
      <c r="G1797" s="191"/>
      <c r="H1797" s="198"/>
      <c r="I1797" s="186"/>
      <c r="J1797" s="186"/>
      <c r="K1797" s="185"/>
      <c r="L1797" s="186"/>
      <c r="M1797" s="36">
        <v>180000</v>
      </c>
      <c r="N1797" s="37"/>
      <c r="O1797" s="37" t="s">
        <v>34</v>
      </c>
      <c r="P1797" s="47" t="str">
        <f>IF(AND('331-CT'!$F$5=TH!H1797,OR(N1797="331",O1797="331")),"x","")</f>
        <v/>
      </c>
      <c r="Q1797" s="47" t="str">
        <f>IF(AND(B1797='111'!$L$11,OR($N1797=$Q$7,$O1797=$Q$7)),"x","")</f>
        <v/>
      </c>
      <c r="R1797" s="47" t="str">
        <f>IF(AND($N1797=$Q$7,$B1797&lt;'111'!$L$11),"x","")</f>
        <v/>
      </c>
      <c r="S1797" s="47" t="str">
        <f>IF(AND($O1797=$Q$7,$B1797&lt;'111'!$L$11),"x","")</f>
        <v>x</v>
      </c>
    </row>
    <row r="1798" spans="1:19" ht="15.75" customHeight="1">
      <c r="A1798" s="152" t="str">
        <f>IF(B1798&lt;&gt;"",IF(AND(B1798='IN-TC'!$S$4,OR(TH!N1798="1111",TH!O1798="1111")),TH!D1798,""),"")</f>
        <v>C89</v>
      </c>
      <c r="B1798" s="34">
        <f t="shared" si="62"/>
        <v>10</v>
      </c>
      <c r="C1798" s="35">
        <f t="shared" si="63"/>
        <v>42657</v>
      </c>
      <c r="D1798" s="212" t="s">
        <v>958</v>
      </c>
      <c r="E1798" s="35">
        <v>42657</v>
      </c>
      <c r="F1798" s="144" t="s">
        <v>1337</v>
      </c>
      <c r="G1798" s="191" t="s">
        <v>110</v>
      </c>
      <c r="H1798" s="198"/>
      <c r="I1798" s="186"/>
      <c r="J1798" s="186"/>
      <c r="K1798" s="185"/>
      <c r="L1798" s="186"/>
      <c r="M1798" s="36">
        <v>2000000</v>
      </c>
      <c r="N1798" s="37"/>
      <c r="O1798" s="37" t="s">
        <v>34</v>
      </c>
      <c r="P1798" s="47" t="str">
        <f>IF(AND('331-CT'!$F$5=TH!H1798,OR(N1798="331",O1798="331")),"x","")</f>
        <v/>
      </c>
      <c r="Q1798" s="47" t="str">
        <f>IF(AND(B1798='111'!$L$11,OR($N1798=$Q$7,$O1798=$Q$7)),"x","")</f>
        <v/>
      </c>
      <c r="R1798" s="47" t="str">
        <f>IF(AND($N1798=$Q$7,$B1798&lt;'111'!$L$11),"x","")</f>
        <v/>
      </c>
      <c r="S1798" s="47" t="str">
        <f>IF(AND($O1798=$Q$7,$B1798&lt;'111'!$L$11),"x","")</f>
        <v>x</v>
      </c>
    </row>
    <row r="1799" spans="1:19" ht="15.75" customHeight="1">
      <c r="A1799" s="152" t="str">
        <f>IF(B1799&lt;&gt;"",IF(AND(B1799='IN-TC'!$S$4,OR(TH!N1799="1111",TH!O1799="1111")),TH!D1799,""),"")</f>
        <v>C90</v>
      </c>
      <c r="B1799" s="34">
        <f t="shared" si="62"/>
        <v>10</v>
      </c>
      <c r="C1799" s="35">
        <f t="shared" si="63"/>
        <v>42657</v>
      </c>
      <c r="D1799" s="212" t="s">
        <v>959</v>
      </c>
      <c r="E1799" s="35">
        <v>42657</v>
      </c>
      <c r="F1799" s="144" t="s">
        <v>1345</v>
      </c>
      <c r="G1799" s="191"/>
      <c r="H1799" s="198"/>
      <c r="I1799" s="186"/>
      <c r="J1799" s="186"/>
      <c r="K1799" s="185"/>
      <c r="L1799" s="186"/>
      <c r="M1799" s="36">
        <v>4000000</v>
      </c>
      <c r="N1799" s="37"/>
      <c r="O1799" s="37" t="s">
        <v>34</v>
      </c>
      <c r="P1799" s="47" t="str">
        <f>IF(AND('331-CT'!$F$5=TH!H1799,OR(N1799="331",O1799="331")),"x","")</f>
        <v/>
      </c>
      <c r="Q1799" s="47" t="str">
        <f>IF(AND(B1799='111'!$L$11,OR($N1799=$Q$7,$O1799=$Q$7)),"x","")</f>
        <v/>
      </c>
      <c r="R1799" s="47" t="str">
        <f>IF(AND($N1799=$Q$7,$B1799&lt;'111'!$L$11),"x","")</f>
        <v/>
      </c>
      <c r="S1799" s="47" t="str">
        <f>IF(AND($O1799=$Q$7,$B1799&lt;'111'!$L$11),"x","")</f>
        <v>x</v>
      </c>
    </row>
    <row r="1800" spans="1:19" ht="15.75" customHeight="1">
      <c r="A1800" s="152" t="str">
        <f>IF(B1800&lt;&gt;"",IF(AND(B1800='IN-TC'!$S$4,OR(TH!N1800="1111",TH!O1800="1111")),TH!D1800,""),"")</f>
        <v/>
      </c>
      <c r="B1800" s="34">
        <f t="shared" si="62"/>
        <v>10</v>
      </c>
      <c r="C1800" s="35">
        <f t="shared" si="63"/>
        <v>42657</v>
      </c>
      <c r="D1800" s="212"/>
      <c r="E1800" s="35">
        <v>42657</v>
      </c>
      <c r="F1800" s="144" t="s">
        <v>1441</v>
      </c>
      <c r="G1800" s="191"/>
      <c r="H1800" s="198" t="s">
        <v>839</v>
      </c>
      <c r="I1800" s="186">
        <v>750</v>
      </c>
      <c r="J1800" s="186">
        <v>95000</v>
      </c>
      <c r="K1800" s="185"/>
      <c r="L1800" s="186"/>
      <c r="M1800" s="36">
        <f>ROUND(I1800*J1800,0)</f>
        <v>71250000</v>
      </c>
      <c r="N1800" s="37" t="s">
        <v>1443</v>
      </c>
      <c r="O1800" s="37" t="s">
        <v>8</v>
      </c>
      <c r="P1800" s="47" t="str">
        <f>IF(AND('331-CT'!$F$5=TH!H1800,OR(N1800="331",O1800="331")),"x","")</f>
        <v/>
      </c>
      <c r="Q1800" s="47" t="str">
        <f>IF(AND(B1800='111'!$L$11,OR($N1800=$Q$7,$O1800=$Q$7)),"x","")</f>
        <v/>
      </c>
      <c r="R1800" s="47" t="str">
        <f>IF(AND($N1800=$Q$7,$B1800&lt;'111'!$L$11),"x","")</f>
        <v/>
      </c>
      <c r="S1800" s="47" t="str">
        <f>IF(AND($O1800=$Q$7,$B1800&lt;'111'!$L$11),"x","")</f>
        <v/>
      </c>
    </row>
    <row r="1801" spans="1:19" ht="15.75" customHeight="1">
      <c r="A1801" s="152" t="str">
        <f>IF(B1801&lt;&gt;"",IF(AND(B1801='IN-TC'!$S$4,OR(TH!N1801="1111",TH!O1801="1111")),TH!D1801,""),"")</f>
        <v/>
      </c>
      <c r="B1801" s="34">
        <f t="shared" si="62"/>
        <v>10</v>
      </c>
      <c r="C1801" s="35">
        <f t="shared" si="63"/>
        <v>42657</v>
      </c>
      <c r="D1801" s="212"/>
      <c r="E1801" s="35">
        <v>42657</v>
      </c>
      <c r="F1801" s="144" t="s">
        <v>1444</v>
      </c>
      <c r="G1801" s="191"/>
      <c r="H1801" s="198" t="s">
        <v>839</v>
      </c>
      <c r="I1801" s="186">
        <v>750</v>
      </c>
      <c r="J1801" s="186">
        <v>95000</v>
      </c>
      <c r="K1801" s="185"/>
      <c r="L1801" s="186"/>
      <c r="M1801" s="36">
        <f>ROUND(I1801*J1801,0)</f>
        <v>71250000</v>
      </c>
      <c r="N1801" s="37" t="s">
        <v>8</v>
      </c>
      <c r="O1801" s="37" t="s">
        <v>1443</v>
      </c>
      <c r="P1801" s="47" t="str">
        <f>IF(AND('331-CT'!$F$5=TH!H1801,OR(N1801="331",O1801="331")),"x","")</f>
        <v/>
      </c>
      <c r="Q1801" s="47" t="str">
        <f>IF(AND(B1801='111'!$L$11,OR($N1801=$Q$7,$O1801=$Q$7)),"x","")</f>
        <v/>
      </c>
      <c r="R1801" s="47" t="str">
        <f>IF(AND($N1801=$Q$7,$B1801&lt;'111'!$L$11),"x","")</f>
        <v/>
      </c>
      <c r="S1801" s="47" t="str">
        <f>IF(AND($O1801=$Q$7,$B1801&lt;'111'!$L$11),"x","")</f>
        <v/>
      </c>
    </row>
    <row r="1802" spans="1:19" ht="15.75" customHeight="1">
      <c r="A1802" s="152" t="str">
        <f>IF(B1802&lt;&gt;"",IF(AND(B1802='IN-TC'!$S$4,OR(TH!N1802="1111",TH!O1802="1111")),TH!D1802,""),"")</f>
        <v/>
      </c>
      <c r="B1802" s="34">
        <f t="shared" si="62"/>
        <v>10</v>
      </c>
      <c r="C1802" s="35">
        <f t="shared" si="63"/>
        <v>42657</v>
      </c>
      <c r="D1802" s="212"/>
      <c r="E1802" s="35">
        <v>42657</v>
      </c>
      <c r="F1802" s="144" t="s">
        <v>1467</v>
      </c>
      <c r="G1802" s="191"/>
      <c r="H1802" s="198" t="s">
        <v>831</v>
      </c>
      <c r="I1802" s="186">
        <v>1350</v>
      </c>
      <c r="J1802" s="186">
        <v>12000</v>
      </c>
      <c r="K1802" s="185"/>
      <c r="L1802" s="186"/>
      <c r="M1802" s="36">
        <f>ROUND(I1802*J1802,0)</f>
        <v>16200000</v>
      </c>
      <c r="N1802" s="37" t="s">
        <v>1443</v>
      </c>
      <c r="O1802" s="37" t="s">
        <v>8</v>
      </c>
      <c r="P1802" s="47" t="str">
        <f>IF(AND('331-CT'!$F$5=TH!H1802,OR(N1802="331",O1802="331")),"x","")</f>
        <v/>
      </c>
      <c r="Q1802" s="47" t="str">
        <f>IF(AND(B1802='111'!$L$11,OR($N1802=$Q$7,$O1802=$Q$7)),"x","")</f>
        <v/>
      </c>
      <c r="R1802" s="47" t="str">
        <f>IF(AND($N1802=$Q$7,$B1802&lt;'111'!$L$11),"x","")</f>
        <v/>
      </c>
      <c r="S1802" s="47" t="str">
        <f>IF(AND($O1802=$Q$7,$B1802&lt;'111'!$L$11),"x","")</f>
        <v/>
      </c>
    </row>
    <row r="1803" spans="1:19" ht="15.75" customHeight="1">
      <c r="A1803" s="152" t="str">
        <f>IF(B1803&lt;&gt;"",IF(AND(B1803='IN-TC'!$S$4,OR(TH!N1803="1111",TH!O1803="1111")),TH!D1803,""),"")</f>
        <v>C91</v>
      </c>
      <c r="B1803" s="34">
        <f t="shared" si="62"/>
        <v>10</v>
      </c>
      <c r="C1803" s="35">
        <f t="shared" si="63"/>
        <v>42658</v>
      </c>
      <c r="D1803" s="212" t="s">
        <v>960</v>
      </c>
      <c r="E1803" s="35">
        <v>42658</v>
      </c>
      <c r="F1803" s="144" t="s">
        <v>1346</v>
      </c>
      <c r="G1803" s="191" t="s">
        <v>207</v>
      </c>
      <c r="H1803" s="198"/>
      <c r="I1803" s="186"/>
      <c r="J1803" s="186"/>
      <c r="K1803" s="185"/>
      <c r="L1803" s="186"/>
      <c r="M1803" s="36">
        <v>500000</v>
      </c>
      <c r="N1803" s="37"/>
      <c r="O1803" s="37" t="s">
        <v>34</v>
      </c>
      <c r="P1803" s="47" t="str">
        <f>IF(AND('331-CT'!$F$5=TH!H1803,OR(N1803="331",O1803="331")),"x","")</f>
        <v/>
      </c>
      <c r="Q1803" s="47" t="str">
        <f>IF(AND(B1803='111'!$L$11,OR($N1803=$Q$7,$O1803=$Q$7)),"x","")</f>
        <v/>
      </c>
      <c r="R1803" s="47" t="str">
        <f>IF(AND($N1803=$Q$7,$B1803&lt;'111'!$L$11),"x","")</f>
        <v/>
      </c>
      <c r="S1803" s="47" t="str">
        <f>IF(AND($O1803=$Q$7,$B1803&lt;'111'!$L$11),"x","")</f>
        <v>x</v>
      </c>
    </row>
    <row r="1804" spans="1:19" ht="15.75" customHeight="1">
      <c r="A1804" s="152" t="str">
        <f>IF(B1804&lt;&gt;"",IF(AND(B1804='IN-TC'!$S$4,OR(TH!N1804="1111",TH!O1804="1111")),TH!D1804,""),"")</f>
        <v>C92</v>
      </c>
      <c r="B1804" s="34">
        <f t="shared" si="62"/>
        <v>10</v>
      </c>
      <c r="C1804" s="35">
        <f t="shared" si="63"/>
        <v>42658</v>
      </c>
      <c r="D1804" s="212" t="s">
        <v>961</v>
      </c>
      <c r="E1804" s="35">
        <v>42658</v>
      </c>
      <c r="F1804" s="144" t="s">
        <v>1347</v>
      </c>
      <c r="G1804" s="191" t="s">
        <v>212</v>
      </c>
      <c r="H1804" s="198"/>
      <c r="I1804" s="186"/>
      <c r="J1804" s="186"/>
      <c r="K1804" s="185"/>
      <c r="L1804" s="186"/>
      <c r="M1804" s="36">
        <v>229750000</v>
      </c>
      <c r="N1804" s="37"/>
      <c r="O1804" s="37" t="s">
        <v>34</v>
      </c>
      <c r="P1804" s="47" t="str">
        <f>IF(AND('331-CT'!$F$5=TH!H1804,OR(N1804="331",O1804="331")),"x","")</f>
        <v/>
      </c>
      <c r="Q1804" s="47" t="str">
        <f>IF(AND(B1804='111'!$L$11,OR($N1804=$Q$7,$O1804=$Q$7)),"x","")</f>
        <v/>
      </c>
      <c r="R1804" s="47" t="str">
        <f>IF(AND($N1804=$Q$7,$B1804&lt;'111'!$L$11),"x","")</f>
        <v/>
      </c>
      <c r="S1804" s="47" t="str">
        <f>IF(AND($O1804=$Q$7,$B1804&lt;'111'!$L$11),"x","")</f>
        <v>x</v>
      </c>
    </row>
    <row r="1805" spans="1:19" ht="15.75" customHeight="1">
      <c r="A1805" s="152" t="str">
        <f>IF(B1805&lt;&gt;"",IF(AND(B1805='IN-TC'!$S$4,OR(TH!N1805="1111",TH!O1805="1111")),TH!D1805,""),"")</f>
        <v>T13</v>
      </c>
      <c r="B1805" s="34">
        <f t="shared" ref="B1805:B1868" si="64">IF(C1805&lt;&gt;"",MONTH(C1805),"")</f>
        <v>10</v>
      </c>
      <c r="C1805" s="35">
        <f t="shared" ref="C1805:C1868" si="65">E1805</f>
        <v>42658</v>
      </c>
      <c r="D1805" s="212" t="s">
        <v>1030</v>
      </c>
      <c r="E1805" s="35">
        <v>42658</v>
      </c>
      <c r="F1805" s="144" t="s">
        <v>1348</v>
      </c>
      <c r="G1805" s="191" t="s">
        <v>110</v>
      </c>
      <c r="H1805" s="198"/>
      <c r="I1805" s="186"/>
      <c r="J1805" s="186"/>
      <c r="K1805" s="185"/>
      <c r="L1805" s="186"/>
      <c r="M1805" s="36">
        <v>2000000</v>
      </c>
      <c r="N1805" s="37" t="s">
        <v>34</v>
      </c>
      <c r="O1805" s="37"/>
      <c r="P1805" s="47" t="str">
        <f>IF(AND('331-CT'!$F$5=TH!H1805,OR(N1805="331",O1805="331")),"x","")</f>
        <v/>
      </c>
      <c r="Q1805" s="47" t="str">
        <f>IF(AND(B1805='111'!$L$11,OR($N1805=$Q$7,$O1805=$Q$7)),"x","")</f>
        <v/>
      </c>
      <c r="R1805" s="47" t="str">
        <f>IF(AND($N1805=$Q$7,$B1805&lt;'111'!$L$11),"x","")</f>
        <v>x</v>
      </c>
      <c r="S1805" s="47" t="str">
        <f>IF(AND($O1805=$Q$7,$B1805&lt;'111'!$L$11),"x","")</f>
        <v/>
      </c>
    </row>
    <row r="1806" spans="1:19" ht="15.75" customHeight="1">
      <c r="A1806" s="152" t="str">
        <f>IF(B1806&lt;&gt;"",IF(AND(B1806='IN-TC'!$S$4,OR(TH!N1806="1111",TH!O1806="1111")),TH!D1806,""),"")</f>
        <v>C93</v>
      </c>
      <c r="B1806" s="34">
        <f t="shared" si="64"/>
        <v>10</v>
      </c>
      <c r="C1806" s="35">
        <f t="shared" si="65"/>
        <v>42658</v>
      </c>
      <c r="D1806" s="212" t="s">
        <v>962</v>
      </c>
      <c r="E1806" s="35">
        <v>42658</v>
      </c>
      <c r="F1806" s="144" t="s">
        <v>1349</v>
      </c>
      <c r="G1806" s="191"/>
      <c r="H1806" s="198"/>
      <c r="I1806" s="186"/>
      <c r="J1806" s="186"/>
      <c r="K1806" s="185"/>
      <c r="L1806" s="186"/>
      <c r="M1806" s="36">
        <v>1685000</v>
      </c>
      <c r="N1806" s="37"/>
      <c r="O1806" s="37" t="s">
        <v>34</v>
      </c>
      <c r="P1806" s="47" t="str">
        <f>IF(AND('331-CT'!$F$5=TH!H1806,OR(N1806="331",O1806="331")),"x","")</f>
        <v/>
      </c>
      <c r="Q1806" s="47" t="str">
        <f>IF(AND(B1806='111'!$L$11,OR($N1806=$Q$7,$O1806=$Q$7)),"x","")</f>
        <v/>
      </c>
      <c r="R1806" s="47" t="str">
        <f>IF(AND($N1806=$Q$7,$B1806&lt;'111'!$L$11),"x","")</f>
        <v/>
      </c>
      <c r="S1806" s="47" t="str">
        <f>IF(AND($O1806=$Q$7,$B1806&lt;'111'!$L$11),"x","")</f>
        <v>x</v>
      </c>
    </row>
    <row r="1807" spans="1:19" ht="15.75" customHeight="1">
      <c r="A1807" s="152" t="str">
        <f>IF(B1807&lt;&gt;"",IF(AND(B1807='IN-TC'!$S$4,OR(TH!N1807="1111",TH!O1807="1111")),TH!D1807,""),"")</f>
        <v>C94</v>
      </c>
      <c r="B1807" s="34">
        <f t="shared" si="64"/>
        <v>10</v>
      </c>
      <c r="C1807" s="35">
        <f t="shared" si="65"/>
        <v>42658</v>
      </c>
      <c r="D1807" s="212" t="s">
        <v>963</v>
      </c>
      <c r="E1807" s="35">
        <v>42658</v>
      </c>
      <c r="F1807" s="144" t="s">
        <v>1338</v>
      </c>
      <c r="G1807" s="191"/>
      <c r="H1807" s="198"/>
      <c r="I1807" s="186"/>
      <c r="J1807" s="186"/>
      <c r="K1807" s="185"/>
      <c r="L1807" s="186"/>
      <c r="M1807" s="36">
        <v>750000</v>
      </c>
      <c r="N1807" s="37"/>
      <c r="O1807" s="37" t="s">
        <v>34</v>
      </c>
      <c r="P1807" s="47" t="str">
        <f>IF(AND('331-CT'!$F$5=TH!H1807,OR(N1807="331",O1807="331")),"x","")</f>
        <v/>
      </c>
      <c r="Q1807" s="47" t="str">
        <f>IF(AND(B1807='111'!$L$11,OR($N1807=$Q$7,$O1807=$Q$7)),"x","")</f>
        <v/>
      </c>
      <c r="R1807" s="47" t="str">
        <f>IF(AND($N1807=$Q$7,$B1807&lt;'111'!$L$11),"x","")</f>
        <v/>
      </c>
      <c r="S1807" s="47" t="str">
        <f>IF(AND($O1807=$Q$7,$B1807&lt;'111'!$L$11),"x","")</f>
        <v>x</v>
      </c>
    </row>
    <row r="1808" spans="1:19" ht="15.75" customHeight="1">
      <c r="A1808" s="152" t="str">
        <f>IF(B1808&lt;&gt;"",IF(AND(B1808='IN-TC'!$S$4,OR(TH!N1808="1111",TH!O1808="1111")),TH!D1808,""),"")</f>
        <v>C95</v>
      </c>
      <c r="B1808" s="34">
        <f t="shared" si="64"/>
        <v>10</v>
      </c>
      <c r="C1808" s="35">
        <f t="shared" si="65"/>
        <v>42658</v>
      </c>
      <c r="D1808" s="212" t="s">
        <v>964</v>
      </c>
      <c r="E1808" s="35">
        <v>42658</v>
      </c>
      <c r="F1808" s="144" t="s">
        <v>1339</v>
      </c>
      <c r="G1808" s="191"/>
      <c r="H1808" s="198"/>
      <c r="I1808" s="186"/>
      <c r="J1808" s="186"/>
      <c r="K1808" s="185"/>
      <c r="L1808" s="186"/>
      <c r="M1808" s="36">
        <v>300000</v>
      </c>
      <c r="N1808" s="37"/>
      <c r="O1808" s="37" t="s">
        <v>34</v>
      </c>
      <c r="P1808" s="47" t="str">
        <f>IF(AND('331-CT'!$F$5=TH!H1808,OR(N1808="331",O1808="331")),"x","")</f>
        <v/>
      </c>
      <c r="Q1808" s="47" t="str">
        <f>IF(AND(B1808='111'!$L$11,OR($N1808=$Q$7,$O1808=$Q$7)),"x","")</f>
        <v/>
      </c>
      <c r="R1808" s="47" t="str">
        <f>IF(AND($N1808=$Q$7,$B1808&lt;'111'!$L$11),"x","")</f>
        <v/>
      </c>
      <c r="S1808" s="47" t="str">
        <f>IF(AND($O1808=$Q$7,$B1808&lt;'111'!$L$11),"x","")</f>
        <v>x</v>
      </c>
    </row>
    <row r="1809" spans="1:19" ht="15.75" customHeight="1">
      <c r="A1809" s="152" t="str">
        <f>IF(B1809&lt;&gt;"",IF(AND(B1809='IN-TC'!$S$4,OR(TH!N1809="1111",TH!O1809="1111")),TH!D1809,""),"")</f>
        <v>T14</v>
      </c>
      <c r="B1809" s="34">
        <f t="shared" si="64"/>
        <v>10</v>
      </c>
      <c r="C1809" s="35">
        <f t="shared" si="65"/>
        <v>42658</v>
      </c>
      <c r="D1809" s="212" t="s">
        <v>1031</v>
      </c>
      <c r="E1809" s="35">
        <v>42658</v>
      </c>
      <c r="F1809" s="144" t="s">
        <v>1191</v>
      </c>
      <c r="G1809" s="191" t="s">
        <v>104</v>
      </c>
      <c r="H1809" s="198"/>
      <c r="I1809" s="186"/>
      <c r="J1809" s="186"/>
      <c r="K1809" s="185"/>
      <c r="L1809" s="186"/>
      <c r="M1809" s="36">
        <v>1190000000</v>
      </c>
      <c r="N1809" s="37" t="s">
        <v>34</v>
      </c>
      <c r="O1809" s="37"/>
      <c r="P1809" s="47" t="str">
        <f>IF(AND('331-CT'!$F$5=TH!H1809,OR(N1809="331",O1809="331")),"x","")</f>
        <v/>
      </c>
      <c r="Q1809" s="47" t="str">
        <f>IF(AND(B1809='111'!$L$11,OR($N1809=$Q$7,$O1809=$Q$7)),"x","")</f>
        <v/>
      </c>
      <c r="R1809" s="47" t="str">
        <f>IF(AND($N1809=$Q$7,$B1809&lt;'111'!$L$11),"x","")</f>
        <v>x</v>
      </c>
      <c r="S1809" s="47" t="str">
        <f>IF(AND($O1809=$Q$7,$B1809&lt;'111'!$L$11),"x","")</f>
        <v/>
      </c>
    </row>
    <row r="1810" spans="1:19" ht="15.75" customHeight="1">
      <c r="A1810" s="152" t="str">
        <f>IF(B1810&lt;&gt;"",IF(AND(B1810='IN-TC'!$S$4,OR(TH!N1810="1111",TH!O1810="1111")),TH!D1810,""),"")</f>
        <v>C96</v>
      </c>
      <c r="B1810" s="34">
        <f t="shared" si="64"/>
        <v>10</v>
      </c>
      <c r="C1810" s="35">
        <f t="shared" si="65"/>
        <v>42658</v>
      </c>
      <c r="D1810" s="212" t="s">
        <v>965</v>
      </c>
      <c r="E1810" s="35">
        <v>42658</v>
      </c>
      <c r="F1810" s="144" t="s">
        <v>382</v>
      </c>
      <c r="G1810" s="191" t="s">
        <v>206</v>
      </c>
      <c r="H1810" s="198" t="s">
        <v>848</v>
      </c>
      <c r="I1810" s="186"/>
      <c r="J1810" s="186"/>
      <c r="K1810" s="185"/>
      <c r="L1810" s="186"/>
      <c r="M1810" s="36">
        <v>5667000</v>
      </c>
      <c r="N1810" s="37" t="s">
        <v>8</v>
      </c>
      <c r="O1810" s="37" t="s">
        <v>34</v>
      </c>
      <c r="P1810" s="47" t="str">
        <f>IF(AND('331-CT'!$F$5=TH!H1810,OR(N1810="331",O1810="331")),"x","")</f>
        <v/>
      </c>
      <c r="Q1810" s="47" t="str">
        <f>IF(AND(B1810='111'!$L$11,OR($N1810=$Q$7,$O1810=$Q$7)),"x","")</f>
        <v/>
      </c>
      <c r="R1810" s="47" t="str">
        <f>IF(AND($N1810=$Q$7,$B1810&lt;'111'!$L$11),"x","")</f>
        <v/>
      </c>
      <c r="S1810" s="47" t="str">
        <f>IF(AND($O1810=$Q$7,$B1810&lt;'111'!$L$11),"x","")</f>
        <v>x</v>
      </c>
    </row>
    <row r="1811" spans="1:19" ht="15.75" customHeight="1">
      <c r="A1811" s="152" t="str">
        <f>IF(B1811&lt;&gt;"",IF(AND(B1811='IN-TC'!$S$4,OR(TH!N1811="1111",TH!O1811="1111")),TH!D1811,""),"")</f>
        <v>C97</v>
      </c>
      <c r="B1811" s="34">
        <f t="shared" si="64"/>
        <v>10</v>
      </c>
      <c r="C1811" s="35">
        <f t="shared" si="65"/>
        <v>42658</v>
      </c>
      <c r="D1811" s="212" t="s">
        <v>966</v>
      </c>
      <c r="E1811" s="35">
        <v>42658</v>
      </c>
      <c r="F1811" s="144" t="s">
        <v>1340</v>
      </c>
      <c r="G1811" s="191"/>
      <c r="H1811" s="198"/>
      <c r="I1811" s="186"/>
      <c r="J1811" s="186"/>
      <c r="K1811" s="185"/>
      <c r="L1811" s="186"/>
      <c r="M1811" s="36">
        <v>2010000</v>
      </c>
      <c r="N1811" s="37"/>
      <c r="O1811" s="37" t="s">
        <v>34</v>
      </c>
      <c r="P1811" s="47" t="str">
        <f>IF(AND('331-CT'!$F$5=TH!H1811,OR(N1811="331",O1811="331")),"x","")</f>
        <v/>
      </c>
      <c r="Q1811" s="47" t="str">
        <f>IF(AND(B1811='111'!$L$11,OR($N1811=$Q$7,$O1811=$Q$7)),"x","")</f>
        <v/>
      </c>
      <c r="R1811" s="47" t="str">
        <f>IF(AND($N1811=$Q$7,$B1811&lt;'111'!$L$11),"x","")</f>
        <v/>
      </c>
      <c r="S1811" s="47" t="str">
        <f>IF(AND($O1811=$Q$7,$B1811&lt;'111'!$L$11),"x","")</f>
        <v>x</v>
      </c>
    </row>
    <row r="1812" spans="1:19" ht="15.75" customHeight="1">
      <c r="A1812" s="152" t="str">
        <f>IF(B1812&lt;&gt;"",IF(AND(B1812='IN-TC'!$S$4,OR(TH!N1812="1111",TH!O1812="1111")),TH!D1812,""),"")</f>
        <v>C98</v>
      </c>
      <c r="B1812" s="34">
        <f t="shared" si="64"/>
        <v>10</v>
      </c>
      <c r="C1812" s="35">
        <f t="shared" si="65"/>
        <v>42658</v>
      </c>
      <c r="D1812" s="212" t="s">
        <v>967</v>
      </c>
      <c r="E1812" s="35">
        <v>42658</v>
      </c>
      <c r="F1812" s="144" t="s">
        <v>1341</v>
      </c>
      <c r="G1812" s="191"/>
      <c r="H1812" s="198"/>
      <c r="I1812" s="186"/>
      <c r="J1812" s="186"/>
      <c r="K1812" s="185"/>
      <c r="L1812" s="186"/>
      <c r="M1812" s="36">
        <v>3913000</v>
      </c>
      <c r="N1812" s="37"/>
      <c r="O1812" s="37" t="s">
        <v>34</v>
      </c>
      <c r="P1812" s="47" t="str">
        <f>IF(AND('331-CT'!$F$5=TH!H1812,OR(N1812="331",O1812="331")),"x","")</f>
        <v/>
      </c>
      <c r="Q1812" s="47" t="str">
        <f>IF(AND(B1812='111'!$L$11,OR($N1812=$Q$7,$O1812=$Q$7)),"x","")</f>
        <v/>
      </c>
      <c r="R1812" s="47" t="str">
        <f>IF(AND($N1812=$Q$7,$B1812&lt;'111'!$L$11),"x","")</f>
        <v/>
      </c>
      <c r="S1812" s="47" t="str">
        <f>IF(AND($O1812=$Q$7,$B1812&lt;'111'!$L$11),"x","")</f>
        <v>x</v>
      </c>
    </row>
    <row r="1813" spans="1:19" ht="15.75" customHeight="1">
      <c r="A1813" s="152" t="str">
        <f>IF(B1813&lt;&gt;"",IF(AND(B1813='IN-TC'!$S$4,OR(TH!N1813="1111",TH!O1813="1111")),TH!D1813,""),"")</f>
        <v>C99</v>
      </c>
      <c r="B1813" s="34">
        <f t="shared" si="64"/>
        <v>10</v>
      </c>
      <c r="C1813" s="35">
        <f t="shared" si="65"/>
        <v>42658</v>
      </c>
      <c r="D1813" s="212" t="s">
        <v>968</v>
      </c>
      <c r="E1813" s="35">
        <v>42658</v>
      </c>
      <c r="F1813" s="144" t="s">
        <v>1342</v>
      </c>
      <c r="G1813" s="191"/>
      <c r="H1813" s="198"/>
      <c r="I1813" s="186"/>
      <c r="J1813" s="186"/>
      <c r="K1813" s="185"/>
      <c r="L1813" s="186"/>
      <c r="M1813" s="36">
        <v>160000</v>
      </c>
      <c r="N1813" s="37"/>
      <c r="O1813" s="37" t="s">
        <v>34</v>
      </c>
      <c r="P1813" s="47" t="str">
        <f>IF(AND('331-CT'!$F$5=TH!H1813,OR(N1813="331",O1813="331")),"x","")</f>
        <v/>
      </c>
      <c r="Q1813" s="47" t="str">
        <f>IF(AND(B1813='111'!$L$11,OR($N1813=$Q$7,$O1813=$Q$7)),"x","")</f>
        <v/>
      </c>
      <c r="R1813" s="47" t="str">
        <f>IF(AND($N1813=$Q$7,$B1813&lt;'111'!$L$11),"x","")</f>
        <v/>
      </c>
      <c r="S1813" s="47" t="str">
        <f>IF(AND($O1813=$Q$7,$B1813&lt;'111'!$L$11),"x","")</f>
        <v>x</v>
      </c>
    </row>
    <row r="1814" spans="1:19" ht="15.75" customHeight="1">
      <c r="A1814" s="152" t="str">
        <f>IF(B1814&lt;&gt;"",IF(AND(B1814='IN-TC'!$S$4,OR(TH!N1814="1111",TH!O1814="1111")),TH!D1814,""),"")</f>
        <v>C100</v>
      </c>
      <c r="B1814" s="34">
        <f t="shared" si="64"/>
        <v>10</v>
      </c>
      <c r="C1814" s="35">
        <f t="shared" si="65"/>
        <v>42658</v>
      </c>
      <c r="D1814" s="212" t="s">
        <v>969</v>
      </c>
      <c r="E1814" s="35">
        <v>42658</v>
      </c>
      <c r="F1814" s="144" t="s">
        <v>1343</v>
      </c>
      <c r="G1814" s="191" t="s">
        <v>212</v>
      </c>
      <c r="H1814" s="198"/>
      <c r="I1814" s="186"/>
      <c r="J1814" s="186"/>
      <c r="K1814" s="185"/>
      <c r="L1814" s="186"/>
      <c r="M1814" s="36">
        <v>520154000</v>
      </c>
      <c r="N1814" s="37"/>
      <c r="O1814" s="37" t="s">
        <v>34</v>
      </c>
      <c r="P1814" s="47" t="str">
        <f>IF(AND('331-CT'!$F$5=TH!H1814,OR(N1814="331",O1814="331")),"x","")</f>
        <v/>
      </c>
      <c r="Q1814" s="47" t="str">
        <f>IF(AND(B1814='111'!$L$11,OR($N1814=$Q$7,$O1814=$Q$7)),"x","")</f>
        <v/>
      </c>
      <c r="R1814" s="47" t="str">
        <f>IF(AND($N1814=$Q$7,$B1814&lt;'111'!$L$11),"x","")</f>
        <v/>
      </c>
      <c r="S1814" s="47" t="str">
        <f>IF(AND($O1814=$Q$7,$B1814&lt;'111'!$L$11),"x","")</f>
        <v>x</v>
      </c>
    </row>
    <row r="1815" spans="1:19" ht="15.75" customHeight="1">
      <c r="A1815" s="152" t="str">
        <f>IF(B1815&lt;&gt;"",IF(AND(B1815='IN-TC'!$S$4,OR(TH!N1815="1111",TH!O1815="1111")),TH!D1815,""),"")</f>
        <v>C101</v>
      </c>
      <c r="B1815" s="34">
        <f t="shared" si="64"/>
        <v>10</v>
      </c>
      <c r="C1815" s="35">
        <f t="shared" si="65"/>
        <v>42658</v>
      </c>
      <c r="D1815" s="212" t="s">
        <v>970</v>
      </c>
      <c r="E1815" s="35">
        <v>42658</v>
      </c>
      <c r="F1815" s="144" t="s">
        <v>1394</v>
      </c>
      <c r="G1815" s="191" t="s">
        <v>206</v>
      </c>
      <c r="H1815" s="198" t="s">
        <v>851</v>
      </c>
      <c r="I1815" s="186"/>
      <c r="J1815" s="186"/>
      <c r="K1815" s="185"/>
      <c r="L1815" s="186"/>
      <c r="M1815" s="36">
        <v>150000000</v>
      </c>
      <c r="N1815" s="37" t="s">
        <v>8</v>
      </c>
      <c r="O1815" s="37" t="s">
        <v>34</v>
      </c>
      <c r="P1815" s="47" t="str">
        <f>IF(AND('331-CT'!$F$5=TH!H1815,OR(N1815="331",O1815="331")),"x","")</f>
        <v/>
      </c>
      <c r="Q1815" s="47" t="str">
        <f>IF(AND(B1815='111'!$L$11,OR($N1815=$Q$7,$O1815=$Q$7)),"x","")</f>
        <v/>
      </c>
      <c r="R1815" s="47" t="str">
        <f>IF(AND($N1815=$Q$7,$B1815&lt;'111'!$L$11),"x","")</f>
        <v/>
      </c>
      <c r="S1815" s="47" t="str">
        <f>IF(AND($O1815=$Q$7,$B1815&lt;'111'!$L$11),"x","")</f>
        <v>x</v>
      </c>
    </row>
    <row r="1816" spans="1:19" ht="15.75" customHeight="1">
      <c r="A1816" s="152" t="str">
        <f>IF(B1816&lt;&gt;"",IF(AND(B1816='IN-TC'!$S$4,OR(TH!N1816="1111",TH!O1816="1111")),TH!D1816,""),"")</f>
        <v>C102</v>
      </c>
      <c r="B1816" s="34">
        <f t="shared" si="64"/>
        <v>10</v>
      </c>
      <c r="C1816" s="35">
        <f t="shared" si="65"/>
        <v>42658</v>
      </c>
      <c r="D1816" s="212" t="s">
        <v>971</v>
      </c>
      <c r="E1816" s="35">
        <v>42658</v>
      </c>
      <c r="F1816" s="144" t="s">
        <v>367</v>
      </c>
      <c r="G1816" s="191" t="s">
        <v>206</v>
      </c>
      <c r="H1816" s="198" t="s">
        <v>849</v>
      </c>
      <c r="I1816" s="186"/>
      <c r="J1816" s="186"/>
      <c r="K1816" s="185"/>
      <c r="L1816" s="186"/>
      <c r="M1816" s="36">
        <v>200000000</v>
      </c>
      <c r="N1816" s="37" t="s">
        <v>8</v>
      </c>
      <c r="O1816" s="37" t="s">
        <v>34</v>
      </c>
      <c r="P1816" s="47" t="str">
        <f>IF(AND('331-CT'!$F$5=TH!H1816,OR(N1816="331",O1816="331")),"x","")</f>
        <v/>
      </c>
      <c r="Q1816" s="47" t="str">
        <f>IF(AND(B1816='111'!$L$11,OR($N1816=$Q$7,$O1816=$Q$7)),"x","")</f>
        <v/>
      </c>
      <c r="R1816" s="47" t="str">
        <f>IF(AND($N1816=$Q$7,$B1816&lt;'111'!$L$11),"x","")</f>
        <v/>
      </c>
      <c r="S1816" s="47" t="str">
        <f>IF(AND($O1816=$Q$7,$B1816&lt;'111'!$L$11),"x","")</f>
        <v>x</v>
      </c>
    </row>
    <row r="1817" spans="1:19" ht="15.75" customHeight="1">
      <c r="A1817" s="152" t="str">
        <f>IF(B1817&lt;&gt;"",IF(AND(B1817='IN-TC'!$S$4,OR(TH!N1817="1111",TH!O1817="1111")),TH!D1817,""),"")</f>
        <v>C103</v>
      </c>
      <c r="B1817" s="34">
        <f t="shared" si="64"/>
        <v>10</v>
      </c>
      <c r="C1817" s="35">
        <f t="shared" si="65"/>
        <v>42658</v>
      </c>
      <c r="D1817" s="212" t="s">
        <v>972</v>
      </c>
      <c r="E1817" s="35">
        <v>42658</v>
      </c>
      <c r="F1817" s="144" t="s">
        <v>1344</v>
      </c>
      <c r="G1817" s="191" t="s">
        <v>206</v>
      </c>
      <c r="H1817" s="198" t="s">
        <v>1421</v>
      </c>
      <c r="I1817" s="186"/>
      <c r="J1817" s="186"/>
      <c r="K1817" s="185"/>
      <c r="L1817" s="186"/>
      <c r="M1817" s="36">
        <v>200000000</v>
      </c>
      <c r="N1817" s="37" t="s">
        <v>8</v>
      </c>
      <c r="O1817" s="37" t="s">
        <v>34</v>
      </c>
      <c r="P1817" s="47" t="str">
        <f>IF(AND('331-CT'!$F$5=TH!H1817,OR(N1817="331",O1817="331")),"x","")</f>
        <v/>
      </c>
      <c r="Q1817" s="47" t="str">
        <f>IF(AND(B1817='111'!$L$11,OR($N1817=$Q$7,$O1817=$Q$7)),"x","")</f>
        <v/>
      </c>
      <c r="R1817" s="47" t="str">
        <f>IF(AND($N1817=$Q$7,$B1817&lt;'111'!$L$11),"x","")</f>
        <v/>
      </c>
      <c r="S1817" s="47" t="str">
        <f>IF(AND($O1817=$Q$7,$B1817&lt;'111'!$L$11),"x","")</f>
        <v>x</v>
      </c>
    </row>
    <row r="1818" spans="1:19" ht="15.75" customHeight="1">
      <c r="A1818" s="152" t="str">
        <f>IF(B1818&lt;&gt;"",IF(AND(B1818='IN-TC'!$S$4,OR(TH!N1818="1111",TH!O1818="1111")),TH!D1818,""),"")</f>
        <v>C104</v>
      </c>
      <c r="B1818" s="34">
        <f t="shared" si="64"/>
        <v>10</v>
      </c>
      <c r="C1818" s="35">
        <f t="shared" si="65"/>
        <v>42658</v>
      </c>
      <c r="D1818" s="212" t="s">
        <v>973</v>
      </c>
      <c r="E1818" s="35">
        <v>42658</v>
      </c>
      <c r="F1818" s="144" t="s">
        <v>1390</v>
      </c>
      <c r="G1818" s="191" t="s">
        <v>206</v>
      </c>
      <c r="H1818" s="198" t="s">
        <v>820</v>
      </c>
      <c r="I1818" s="186"/>
      <c r="J1818" s="186"/>
      <c r="K1818" s="185"/>
      <c r="L1818" s="186"/>
      <c r="M1818" s="36">
        <v>100000000</v>
      </c>
      <c r="N1818" s="37" t="s">
        <v>8</v>
      </c>
      <c r="O1818" s="37" t="s">
        <v>34</v>
      </c>
      <c r="P1818" s="47" t="str">
        <f>IF(AND('331-CT'!$F$5=TH!H1818,OR(N1818="331",O1818="331")),"x","")</f>
        <v/>
      </c>
      <c r="Q1818" s="47" t="str">
        <f>IF(AND(B1818='111'!$L$11,OR($N1818=$Q$7,$O1818=$Q$7)),"x","")</f>
        <v/>
      </c>
      <c r="R1818" s="47" t="str">
        <f>IF(AND($N1818=$Q$7,$B1818&lt;'111'!$L$11),"x","")</f>
        <v/>
      </c>
      <c r="S1818" s="47" t="str">
        <f>IF(AND($O1818=$Q$7,$B1818&lt;'111'!$L$11),"x","")</f>
        <v>x</v>
      </c>
    </row>
    <row r="1819" spans="1:19" ht="15.75" customHeight="1">
      <c r="A1819" s="152" t="str">
        <f>IF(B1819&lt;&gt;"",IF(AND(B1819='IN-TC'!$S$4,OR(TH!N1819="1111",TH!O1819="1111")),TH!D1819,""),"")</f>
        <v>C104</v>
      </c>
      <c r="B1819" s="34">
        <f t="shared" si="64"/>
        <v>10</v>
      </c>
      <c r="C1819" s="35">
        <f t="shared" si="65"/>
        <v>42658</v>
      </c>
      <c r="D1819" s="212" t="s">
        <v>973</v>
      </c>
      <c r="E1819" s="35">
        <v>42658</v>
      </c>
      <c r="F1819" s="144" t="s">
        <v>1424</v>
      </c>
      <c r="G1819" s="191"/>
      <c r="H1819" s="198"/>
      <c r="I1819" s="186"/>
      <c r="J1819" s="186"/>
      <c r="K1819" s="185"/>
      <c r="L1819" s="186"/>
      <c r="M1819" s="36">
        <v>30000</v>
      </c>
      <c r="N1819" s="37" t="s">
        <v>1425</v>
      </c>
      <c r="O1819" s="37" t="s">
        <v>34</v>
      </c>
      <c r="P1819" s="47" t="str">
        <f>IF(AND('331-CT'!$F$5=TH!H1819,OR(N1819="331",O1819="331")),"x","")</f>
        <v/>
      </c>
      <c r="Q1819" s="47" t="str">
        <f>IF(AND(B1819='111'!$L$11,OR($N1819=$Q$7,$O1819=$Q$7)),"x","")</f>
        <v/>
      </c>
      <c r="R1819" s="47" t="str">
        <f>IF(AND($N1819=$Q$7,$B1819&lt;'111'!$L$11),"x","")</f>
        <v/>
      </c>
      <c r="S1819" s="47" t="str">
        <f>IF(AND($O1819=$Q$7,$B1819&lt;'111'!$L$11),"x","")</f>
        <v>x</v>
      </c>
    </row>
    <row r="1820" spans="1:19" ht="15.75" customHeight="1">
      <c r="A1820" s="152" t="str">
        <f>IF(B1820&lt;&gt;"",IF(AND(B1820='IN-TC'!$S$4,OR(TH!N1820="1111",TH!O1820="1111")),TH!D1820,""),"")</f>
        <v>C105</v>
      </c>
      <c r="B1820" s="34">
        <f t="shared" si="64"/>
        <v>10</v>
      </c>
      <c r="C1820" s="35">
        <f t="shared" si="65"/>
        <v>42658</v>
      </c>
      <c r="D1820" s="212" t="s">
        <v>974</v>
      </c>
      <c r="E1820" s="35">
        <v>42658</v>
      </c>
      <c r="F1820" s="144" t="s">
        <v>1313</v>
      </c>
      <c r="G1820" s="191" t="s">
        <v>204</v>
      </c>
      <c r="H1820" s="198"/>
      <c r="I1820" s="186"/>
      <c r="J1820" s="186"/>
      <c r="K1820" s="185"/>
      <c r="L1820" s="186"/>
      <c r="M1820" s="36">
        <v>5000000</v>
      </c>
      <c r="N1820" s="37"/>
      <c r="O1820" s="37" t="s">
        <v>34</v>
      </c>
      <c r="P1820" s="47" t="str">
        <f>IF(AND('331-CT'!$F$5=TH!H1820,OR(N1820="331",O1820="331")),"x","")</f>
        <v/>
      </c>
      <c r="Q1820" s="47" t="str">
        <f>IF(AND(B1820='111'!$L$11,OR($N1820=$Q$7,$O1820=$Q$7)),"x","")</f>
        <v/>
      </c>
      <c r="R1820" s="47" t="str">
        <f>IF(AND($N1820=$Q$7,$B1820&lt;'111'!$L$11),"x","")</f>
        <v/>
      </c>
      <c r="S1820" s="47" t="str">
        <f>IF(AND($O1820=$Q$7,$B1820&lt;'111'!$L$11),"x","")</f>
        <v>x</v>
      </c>
    </row>
    <row r="1821" spans="1:19" ht="15.75" customHeight="1">
      <c r="A1821" s="152" t="str">
        <f>IF(B1821&lt;&gt;"",IF(AND(B1821='IN-TC'!$S$4,OR(TH!N1821="1111",TH!O1821="1111")),TH!D1821,""),"")</f>
        <v>T15</v>
      </c>
      <c r="B1821" s="34">
        <f t="shared" si="64"/>
        <v>10</v>
      </c>
      <c r="C1821" s="35">
        <f t="shared" si="65"/>
        <v>42658</v>
      </c>
      <c r="D1821" s="212" t="s">
        <v>1032</v>
      </c>
      <c r="E1821" s="35">
        <v>42658</v>
      </c>
      <c r="F1821" s="144" t="s">
        <v>1191</v>
      </c>
      <c r="G1821" s="191" t="s">
        <v>104</v>
      </c>
      <c r="H1821" s="198"/>
      <c r="I1821" s="186"/>
      <c r="J1821" s="186"/>
      <c r="K1821" s="185"/>
      <c r="L1821" s="186"/>
      <c r="M1821" s="36">
        <v>1000000000</v>
      </c>
      <c r="N1821" s="37" t="s">
        <v>34</v>
      </c>
      <c r="O1821" s="37"/>
      <c r="P1821" s="47" t="str">
        <f>IF(AND('331-CT'!$F$5=TH!H1821,OR(N1821="331",O1821="331")),"x","")</f>
        <v/>
      </c>
      <c r="Q1821" s="47" t="str">
        <f>IF(AND(B1821='111'!$L$11,OR($N1821=$Q$7,$O1821=$Q$7)),"x","")</f>
        <v/>
      </c>
      <c r="R1821" s="47" t="str">
        <f>IF(AND($N1821=$Q$7,$B1821&lt;'111'!$L$11),"x","")</f>
        <v>x</v>
      </c>
      <c r="S1821" s="47" t="str">
        <f>IF(AND($O1821=$Q$7,$B1821&lt;'111'!$L$11),"x","")</f>
        <v/>
      </c>
    </row>
    <row r="1822" spans="1:19" ht="15.75" customHeight="1">
      <c r="A1822" s="152" t="str">
        <f>IF(B1822&lt;&gt;"",IF(AND(B1822='IN-TC'!$S$4,OR(TH!N1822="1111",TH!O1822="1111")),TH!D1822,""),"")</f>
        <v>C106</v>
      </c>
      <c r="B1822" s="34">
        <f t="shared" si="64"/>
        <v>10</v>
      </c>
      <c r="C1822" s="35">
        <f t="shared" si="65"/>
        <v>42658</v>
      </c>
      <c r="D1822" s="212" t="s">
        <v>975</v>
      </c>
      <c r="E1822" s="35">
        <v>42658</v>
      </c>
      <c r="F1822" s="144" t="s">
        <v>1350</v>
      </c>
      <c r="G1822" s="191" t="s">
        <v>104</v>
      </c>
      <c r="H1822" s="198"/>
      <c r="I1822" s="186"/>
      <c r="J1822" s="186"/>
      <c r="K1822" s="185"/>
      <c r="L1822" s="186"/>
      <c r="M1822" s="36">
        <v>200000000</v>
      </c>
      <c r="N1822" s="37"/>
      <c r="O1822" s="37" t="s">
        <v>34</v>
      </c>
      <c r="P1822" s="47" t="str">
        <f>IF(AND('331-CT'!$F$5=TH!H1822,OR(N1822="331",O1822="331")),"x","")</f>
        <v/>
      </c>
      <c r="Q1822" s="47" t="str">
        <f>IF(AND(B1822='111'!$L$11,OR($N1822=$Q$7,$O1822=$Q$7)),"x","")</f>
        <v/>
      </c>
      <c r="R1822" s="47" t="str">
        <f>IF(AND($N1822=$Q$7,$B1822&lt;'111'!$L$11),"x","")</f>
        <v/>
      </c>
      <c r="S1822" s="47" t="str">
        <f>IF(AND($O1822=$Q$7,$B1822&lt;'111'!$L$11),"x","")</f>
        <v>x</v>
      </c>
    </row>
    <row r="1823" spans="1:19" ht="15.75" customHeight="1">
      <c r="A1823" s="152" t="str">
        <f>IF(B1823&lt;&gt;"",IF(AND(B1823='IN-TC'!$S$4,OR(TH!N1823="1111",TH!O1823="1111")),TH!D1823,""),"")</f>
        <v/>
      </c>
      <c r="B1823" s="34">
        <f t="shared" si="64"/>
        <v>10</v>
      </c>
      <c r="C1823" s="35">
        <f t="shared" si="65"/>
        <v>42659</v>
      </c>
      <c r="D1823" s="212"/>
      <c r="E1823" s="35">
        <v>42659</v>
      </c>
      <c r="F1823" s="144" t="s">
        <v>1508</v>
      </c>
      <c r="G1823" s="191" t="s">
        <v>1454</v>
      </c>
      <c r="H1823" s="198" t="s">
        <v>820</v>
      </c>
      <c r="I1823" s="186">
        <v>2000</v>
      </c>
      <c r="J1823" s="186">
        <v>52000</v>
      </c>
      <c r="K1823" s="185"/>
      <c r="L1823" s="186"/>
      <c r="M1823" s="36">
        <f>ROUND(I1823*J1823,-3)</f>
        <v>104000000</v>
      </c>
      <c r="N1823" s="37" t="s">
        <v>1443</v>
      </c>
      <c r="O1823" s="37" t="s">
        <v>8</v>
      </c>
      <c r="P1823" s="47" t="str">
        <f>IF(AND('331-CT'!$F$5=TH!H1823,OR(N1823="331",O1823="331")),"x","")</f>
        <v/>
      </c>
      <c r="Q1823" s="47" t="str">
        <f>IF(AND(B1823='111'!$L$11,OR($N1823=$Q$7,$O1823=$Q$7)),"x","")</f>
        <v/>
      </c>
      <c r="R1823" s="47" t="str">
        <f>IF(AND($N1823=$Q$7,$B1823&lt;'111'!$L$11),"x","")</f>
        <v/>
      </c>
      <c r="S1823" s="47" t="str">
        <f>IF(AND($O1823=$Q$7,$B1823&lt;'111'!$L$11),"x","")</f>
        <v/>
      </c>
    </row>
    <row r="1824" spans="1:19" ht="15.75" customHeight="1">
      <c r="A1824" s="152" t="str">
        <f>IF(B1824&lt;&gt;"",IF(AND(B1824='IN-TC'!$S$4,OR(TH!N1824="1111",TH!O1824="1111")),TH!D1824,""),"")</f>
        <v/>
      </c>
      <c r="B1824" s="34">
        <f t="shared" si="64"/>
        <v>10</v>
      </c>
      <c r="C1824" s="35">
        <f t="shared" si="65"/>
        <v>42659</v>
      </c>
      <c r="D1824" s="212"/>
      <c r="E1824" s="35">
        <v>42659</v>
      </c>
      <c r="F1824" s="144" t="s">
        <v>1469</v>
      </c>
      <c r="G1824" s="191"/>
      <c r="H1824" s="198" t="s">
        <v>1419</v>
      </c>
      <c r="I1824" s="186">
        <v>5247</v>
      </c>
      <c r="J1824" s="186">
        <v>18000</v>
      </c>
      <c r="K1824" s="185"/>
      <c r="L1824" s="186"/>
      <c r="M1824" s="36">
        <f>ROUND(I1824*J1824,-3)</f>
        <v>94446000</v>
      </c>
      <c r="N1824" s="37" t="s">
        <v>1443</v>
      </c>
      <c r="O1824" s="37" t="s">
        <v>8</v>
      </c>
      <c r="P1824" s="47" t="str">
        <f>IF(AND('331-CT'!$F$5=TH!H1824,OR(N1824="331",O1824="331")),"x","")</f>
        <v/>
      </c>
      <c r="Q1824" s="47" t="str">
        <f>IF(AND(B1824='111'!$L$11,OR($N1824=$Q$7,$O1824=$Q$7)),"x","")</f>
        <v/>
      </c>
      <c r="R1824" s="47" t="str">
        <f>IF(AND($N1824=$Q$7,$B1824&lt;'111'!$L$11),"x","")</f>
        <v/>
      </c>
      <c r="S1824" s="47" t="str">
        <f>IF(AND($O1824=$Q$7,$B1824&lt;'111'!$L$11),"x","")</f>
        <v/>
      </c>
    </row>
    <row r="1825" spans="1:19" ht="15.75" customHeight="1">
      <c r="A1825" s="152" t="str">
        <f>IF(B1825&lt;&gt;"",IF(AND(B1825='IN-TC'!$S$4,OR(TH!N1825="1111",TH!O1825="1111")),TH!D1825,""),"")</f>
        <v/>
      </c>
      <c r="B1825" s="34">
        <f t="shared" si="64"/>
        <v>10</v>
      </c>
      <c r="C1825" s="35">
        <f t="shared" si="65"/>
        <v>42659</v>
      </c>
      <c r="D1825" s="212"/>
      <c r="E1825" s="35">
        <v>42659</v>
      </c>
      <c r="F1825" s="144" t="s">
        <v>1466</v>
      </c>
      <c r="G1825" s="191"/>
      <c r="H1825" s="198" t="s">
        <v>1419</v>
      </c>
      <c r="I1825" s="186">
        <v>803</v>
      </c>
      <c r="J1825" s="186">
        <v>16000</v>
      </c>
      <c r="K1825" s="185"/>
      <c r="L1825" s="186"/>
      <c r="M1825" s="36">
        <f>ROUND(I1825*J1825,-3)</f>
        <v>12848000</v>
      </c>
      <c r="N1825" s="37" t="s">
        <v>1443</v>
      </c>
      <c r="O1825" s="37" t="s">
        <v>8</v>
      </c>
      <c r="P1825" s="47" t="str">
        <f>IF(AND('331-CT'!$F$5=TH!H1825,OR(N1825="331",O1825="331")),"x","")</f>
        <v/>
      </c>
      <c r="Q1825" s="47" t="str">
        <f>IF(AND(B1825='111'!$L$11,OR($N1825=$Q$7,$O1825=$Q$7)),"x","")</f>
        <v/>
      </c>
      <c r="R1825" s="47" t="str">
        <f>IF(AND($N1825=$Q$7,$B1825&lt;'111'!$L$11),"x","")</f>
        <v/>
      </c>
      <c r="S1825" s="47" t="str">
        <f>IF(AND($O1825=$Q$7,$B1825&lt;'111'!$L$11),"x","")</f>
        <v/>
      </c>
    </row>
    <row r="1826" spans="1:19" ht="15.75" customHeight="1">
      <c r="A1826" s="152" t="str">
        <f>IF(B1826&lt;&gt;"",IF(AND(B1826='IN-TC'!$S$4,OR(TH!N1826="1111",TH!O1826="1111")),TH!D1826,""),"")</f>
        <v/>
      </c>
      <c r="B1826" s="34">
        <f t="shared" si="64"/>
        <v>10</v>
      </c>
      <c r="C1826" s="35">
        <f t="shared" si="65"/>
        <v>42659</v>
      </c>
      <c r="D1826" s="212"/>
      <c r="E1826" s="35">
        <v>42659</v>
      </c>
      <c r="F1826" s="144" t="s">
        <v>1524</v>
      </c>
      <c r="G1826" s="191"/>
      <c r="H1826" s="198" t="s">
        <v>1419</v>
      </c>
      <c r="I1826" s="186">
        <v>360</v>
      </c>
      <c r="J1826" s="186">
        <v>17000</v>
      </c>
      <c r="K1826" s="185"/>
      <c r="L1826" s="186"/>
      <c r="M1826" s="36">
        <f>ROUND(I1826*J1826,-3)</f>
        <v>6120000</v>
      </c>
      <c r="N1826" s="37" t="s">
        <v>1443</v>
      </c>
      <c r="O1826" s="37" t="s">
        <v>8</v>
      </c>
      <c r="P1826" s="47" t="str">
        <f>IF(AND('331-CT'!$F$5=TH!H1826,OR(N1826="331",O1826="331")),"x","")</f>
        <v/>
      </c>
      <c r="Q1826" s="47" t="str">
        <f>IF(AND(B1826='111'!$L$11,OR($N1826=$Q$7,$O1826=$Q$7)),"x","")</f>
        <v/>
      </c>
      <c r="R1826" s="47" t="str">
        <f>IF(AND($N1826=$Q$7,$B1826&lt;'111'!$L$11),"x","")</f>
        <v/>
      </c>
      <c r="S1826" s="47" t="str">
        <f>IF(AND($O1826=$Q$7,$B1826&lt;'111'!$L$11),"x","")</f>
        <v/>
      </c>
    </row>
    <row r="1827" spans="1:19" ht="15.75" customHeight="1">
      <c r="A1827" s="152" t="str">
        <f>IF(B1827&lt;&gt;"",IF(AND(B1827='IN-TC'!$S$4,OR(TH!N1827="1111",TH!O1827="1111")),TH!D1827,""),"")</f>
        <v/>
      </c>
      <c r="B1827" s="34">
        <f t="shared" si="64"/>
        <v>10</v>
      </c>
      <c r="C1827" s="35">
        <f t="shared" si="65"/>
        <v>42660</v>
      </c>
      <c r="D1827" s="212"/>
      <c r="E1827" s="35">
        <v>42660</v>
      </c>
      <c r="F1827" s="144" t="s">
        <v>1466</v>
      </c>
      <c r="G1827" s="191" t="s">
        <v>204</v>
      </c>
      <c r="H1827" s="198" t="s">
        <v>832</v>
      </c>
      <c r="I1827" s="186">
        <v>902</v>
      </c>
      <c r="J1827" s="186">
        <v>17000</v>
      </c>
      <c r="K1827" s="185"/>
      <c r="L1827" s="186"/>
      <c r="M1827" s="36">
        <f>ROUND(I1827*J1827,0)</f>
        <v>15334000</v>
      </c>
      <c r="N1827" s="37" t="s">
        <v>1443</v>
      </c>
      <c r="O1827" s="37" t="s">
        <v>8</v>
      </c>
      <c r="P1827" s="47" t="str">
        <f>IF(AND('331-CT'!$F$5=TH!H1827,OR(N1827="331",O1827="331")),"x","")</f>
        <v/>
      </c>
      <c r="Q1827" s="47" t="str">
        <f>IF(AND(B1827='111'!$L$11,OR($N1827=$Q$7,$O1827=$Q$7)),"x","")</f>
        <v/>
      </c>
      <c r="R1827" s="47" t="str">
        <f>IF(AND($N1827=$Q$7,$B1827&lt;'111'!$L$11),"x","")</f>
        <v/>
      </c>
      <c r="S1827" s="47" t="str">
        <f>IF(AND($O1827=$Q$7,$B1827&lt;'111'!$L$11),"x","")</f>
        <v/>
      </c>
    </row>
    <row r="1828" spans="1:19" ht="15.75" customHeight="1">
      <c r="A1828" s="152" t="str">
        <f>IF(B1828&lt;&gt;"",IF(AND(B1828='IN-TC'!$S$4,OR(TH!N1828="1111",TH!O1828="1111")),TH!D1828,""),"")</f>
        <v/>
      </c>
      <c r="B1828" s="34">
        <f t="shared" si="64"/>
        <v>10</v>
      </c>
      <c r="C1828" s="35">
        <f t="shared" si="65"/>
        <v>42660</v>
      </c>
      <c r="D1828" s="212"/>
      <c r="E1828" s="35">
        <v>42660</v>
      </c>
      <c r="F1828" s="144" t="s">
        <v>1520</v>
      </c>
      <c r="G1828" s="191"/>
      <c r="H1828" s="198" t="s">
        <v>848</v>
      </c>
      <c r="I1828" s="186">
        <v>570</v>
      </c>
      <c r="J1828" s="186">
        <v>130000</v>
      </c>
      <c r="K1828" s="185"/>
      <c r="L1828" s="186"/>
      <c r="M1828" s="36">
        <f>ROUND(I1828*J1828,-3)</f>
        <v>74100000</v>
      </c>
      <c r="N1828" s="37" t="s">
        <v>8</v>
      </c>
      <c r="O1828" s="37" t="s">
        <v>1443</v>
      </c>
      <c r="P1828" s="47" t="str">
        <f>IF(AND('331-CT'!$F$5=TH!H1828,OR(N1828="331",O1828="331")),"x","")</f>
        <v/>
      </c>
      <c r="Q1828" s="47" t="str">
        <f>IF(AND(B1828='111'!$L$11,OR($N1828=$Q$7,$O1828=$Q$7)),"x","")</f>
        <v/>
      </c>
      <c r="R1828" s="47" t="str">
        <f>IF(AND($N1828=$Q$7,$B1828&lt;'111'!$L$11),"x","")</f>
        <v/>
      </c>
      <c r="S1828" s="47" t="str">
        <f>IF(AND($O1828=$Q$7,$B1828&lt;'111'!$L$11),"x","")</f>
        <v/>
      </c>
    </row>
    <row r="1829" spans="1:19" ht="15.75" customHeight="1">
      <c r="A1829" s="152" t="str">
        <f>IF(B1829&lt;&gt;"",IF(AND(B1829='IN-TC'!$S$4,OR(TH!N1829="1111",TH!O1829="1111")),TH!D1829,""),"")</f>
        <v/>
      </c>
      <c r="B1829" s="34">
        <f t="shared" si="64"/>
        <v>10</v>
      </c>
      <c r="C1829" s="35">
        <f t="shared" si="65"/>
        <v>42661</v>
      </c>
      <c r="D1829" s="212"/>
      <c r="E1829" s="35">
        <v>42661</v>
      </c>
      <c r="F1829" s="144" t="s">
        <v>1467</v>
      </c>
      <c r="G1829" s="191"/>
      <c r="H1829" s="198" t="s">
        <v>831</v>
      </c>
      <c r="I1829" s="186">
        <v>1090</v>
      </c>
      <c r="J1829" s="186">
        <v>6000</v>
      </c>
      <c r="K1829" s="185"/>
      <c r="L1829" s="186"/>
      <c r="M1829" s="36">
        <f>ROUND(I1829*J1829,0)</f>
        <v>6540000</v>
      </c>
      <c r="N1829" s="37" t="s">
        <v>1443</v>
      </c>
      <c r="O1829" s="37" t="s">
        <v>8</v>
      </c>
      <c r="P1829" s="47" t="str">
        <f>IF(AND('331-CT'!$F$5=TH!H1829,OR(N1829="331",O1829="331")),"x","")</f>
        <v/>
      </c>
      <c r="Q1829" s="47" t="str">
        <f>IF(AND(B1829='111'!$L$11,OR($N1829=$Q$7,$O1829=$Q$7)),"x","")</f>
        <v/>
      </c>
      <c r="R1829" s="47" t="str">
        <f>IF(AND($N1829=$Q$7,$B1829&lt;'111'!$L$11),"x","")</f>
        <v/>
      </c>
      <c r="S1829" s="47" t="str">
        <f>IF(AND($O1829=$Q$7,$B1829&lt;'111'!$L$11),"x","")</f>
        <v/>
      </c>
    </row>
    <row r="1830" spans="1:19" ht="15.75" customHeight="1">
      <c r="A1830" s="152" t="str">
        <f>IF(B1830&lt;&gt;"",IF(AND(B1830='IN-TC'!$S$4,OR(TH!N1830="1111",TH!O1830="1111")),TH!D1830,""),"")</f>
        <v>C107</v>
      </c>
      <c r="B1830" s="34">
        <f t="shared" si="64"/>
        <v>10</v>
      </c>
      <c r="C1830" s="35">
        <f t="shared" si="65"/>
        <v>42662</v>
      </c>
      <c r="D1830" s="212" t="s">
        <v>976</v>
      </c>
      <c r="E1830" s="35">
        <v>42662</v>
      </c>
      <c r="F1830" s="144" t="s">
        <v>671</v>
      </c>
      <c r="G1830" s="191" t="s">
        <v>207</v>
      </c>
      <c r="H1830" s="198"/>
      <c r="I1830" s="186"/>
      <c r="J1830" s="186"/>
      <c r="K1830" s="185"/>
      <c r="L1830" s="186"/>
      <c r="M1830" s="36">
        <v>500000</v>
      </c>
      <c r="N1830" s="37"/>
      <c r="O1830" s="37" t="s">
        <v>34</v>
      </c>
      <c r="P1830" s="47" t="str">
        <f>IF(AND('331-CT'!$F$5=TH!H1830,OR(N1830="331",O1830="331")),"x","")</f>
        <v/>
      </c>
      <c r="Q1830" s="47" t="str">
        <f>IF(AND(B1830='111'!$L$11,OR($N1830=$Q$7,$O1830=$Q$7)),"x","")</f>
        <v/>
      </c>
      <c r="R1830" s="47" t="str">
        <f>IF(AND($N1830=$Q$7,$B1830&lt;'111'!$L$11),"x","")</f>
        <v/>
      </c>
      <c r="S1830" s="47" t="str">
        <f>IF(AND($O1830=$Q$7,$B1830&lt;'111'!$L$11),"x","")</f>
        <v>x</v>
      </c>
    </row>
    <row r="1831" spans="1:19" ht="15.75" customHeight="1">
      <c r="A1831" s="152" t="str">
        <f>IF(B1831&lt;&gt;"",IF(AND(B1831='IN-TC'!$S$4,OR(TH!N1831="1111",TH!O1831="1111")),TH!D1831,""),"")</f>
        <v>T16</v>
      </c>
      <c r="B1831" s="34">
        <f t="shared" si="64"/>
        <v>10</v>
      </c>
      <c r="C1831" s="35">
        <f t="shared" si="65"/>
        <v>42662</v>
      </c>
      <c r="D1831" s="212" t="s">
        <v>1064</v>
      </c>
      <c r="E1831" s="35">
        <v>42662</v>
      </c>
      <c r="F1831" s="144" t="s">
        <v>1354</v>
      </c>
      <c r="G1831" s="191" t="s">
        <v>110</v>
      </c>
      <c r="H1831" s="198"/>
      <c r="I1831" s="186"/>
      <c r="J1831" s="186"/>
      <c r="K1831" s="185"/>
      <c r="L1831" s="186"/>
      <c r="M1831" s="36">
        <v>5000000</v>
      </c>
      <c r="N1831" s="37" t="s">
        <v>34</v>
      </c>
      <c r="O1831" s="37"/>
      <c r="P1831" s="47" t="str">
        <f>IF(AND('331-CT'!$F$5=TH!H1831,OR(N1831="331",O1831="331")),"x","")</f>
        <v/>
      </c>
      <c r="Q1831" s="47" t="str">
        <f>IF(AND(B1831='111'!$L$11,OR($N1831=$Q$7,$O1831=$Q$7)),"x","")</f>
        <v/>
      </c>
      <c r="R1831" s="47" t="str">
        <f>IF(AND($N1831=$Q$7,$B1831&lt;'111'!$L$11),"x","")</f>
        <v>x</v>
      </c>
      <c r="S1831" s="47" t="str">
        <f>IF(AND($O1831=$Q$7,$B1831&lt;'111'!$L$11),"x","")</f>
        <v/>
      </c>
    </row>
    <row r="1832" spans="1:19" ht="15.75" customHeight="1">
      <c r="A1832" s="152" t="str">
        <f>IF(B1832&lt;&gt;"",IF(AND(B1832='IN-TC'!$S$4,OR(TH!N1832="1111",TH!O1832="1111")),TH!D1832,""),"")</f>
        <v>C108</v>
      </c>
      <c r="B1832" s="34">
        <f t="shared" si="64"/>
        <v>10</v>
      </c>
      <c r="C1832" s="35">
        <f t="shared" si="65"/>
        <v>42662</v>
      </c>
      <c r="D1832" s="212" t="s">
        <v>977</v>
      </c>
      <c r="E1832" s="35">
        <v>42662</v>
      </c>
      <c r="F1832" s="144" t="s">
        <v>1355</v>
      </c>
      <c r="G1832" s="191" t="s">
        <v>204</v>
      </c>
      <c r="H1832" s="198"/>
      <c r="I1832" s="186"/>
      <c r="J1832" s="186"/>
      <c r="K1832" s="185"/>
      <c r="L1832" s="186"/>
      <c r="M1832" s="36">
        <v>4500000</v>
      </c>
      <c r="N1832" s="37"/>
      <c r="O1832" s="37" t="s">
        <v>34</v>
      </c>
      <c r="P1832" s="47" t="str">
        <f>IF(AND('331-CT'!$F$5=TH!H1832,OR(N1832="331",O1832="331")),"x","")</f>
        <v/>
      </c>
      <c r="Q1832" s="47" t="str">
        <f>IF(AND(B1832='111'!$L$11,OR($N1832=$Q$7,$O1832=$Q$7)),"x","")</f>
        <v/>
      </c>
      <c r="R1832" s="47" t="str">
        <f>IF(AND($N1832=$Q$7,$B1832&lt;'111'!$L$11),"x","")</f>
        <v/>
      </c>
      <c r="S1832" s="47" t="str">
        <f>IF(AND($O1832=$Q$7,$B1832&lt;'111'!$L$11),"x","")</f>
        <v>x</v>
      </c>
    </row>
    <row r="1833" spans="1:19" ht="15.75" customHeight="1">
      <c r="A1833" s="152" t="str">
        <f>IF(B1833&lt;&gt;"",IF(AND(B1833='IN-TC'!$S$4,OR(TH!N1833="1111",TH!O1833="1111")),TH!D1833,""),"")</f>
        <v>C109</v>
      </c>
      <c r="B1833" s="34">
        <f t="shared" si="64"/>
        <v>10</v>
      </c>
      <c r="C1833" s="35">
        <f t="shared" si="65"/>
        <v>42662</v>
      </c>
      <c r="D1833" s="212" t="s">
        <v>978</v>
      </c>
      <c r="E1833" s="35">
        <v>42662</v>
      </c>
      <c r="F1833" s="144" t="s">
        <v>1351</v>
      </c>
      <c r="G1833" s="191"/>
      <c r="H1833" s="198"/>
      <c r="I1833" s="186"/>
      <c r="J1833" s="186"/>
      <c r="K1833" s="185"/>
      <c r="L1833" s="186"/>
      <c r="M1833" s="36">
        <v>7325000</v>
      </c>
      <c r="N1833" s="37"/>
      <c r="O1833" s="37" t="s">
        <v>34</v>
      </c>
      <c r="P1833" s="47" t="str">
        <f>IF(AND('331-CT'!$F$5=TH!H1833,OR(N1833="331",O1833="331")),"x","")</f>
        <v/>
      </c>
      <c r="Q1833" s="47" t="str">
        <f>IF(AND(B1833='111'!$L$11,OR($N1833=$Q$7,$O1833=$Q$7)),"x","")</f>
        <v/>
      </c>
      <c r="R1833" s="47" t="str">
        <f>IF(AND($N1833=$Q$7,$B1833&lt;'111'!$L$11),"x","")</f>
        <v/>
      </c>
      <c r="S1833" s="47" t="str">
        <f>IF(AND($O1833=$Q$7,$B1833&lt;'111'!$L$11),"x","")</f>
        <v>x</v>
      </c>
    </row>
    <row r="1834" spans="1:19" ht="15.75" customHeight="1">
      <c r="A1834" s="152" t="str">
        <f>IF(B1834&lt;&gt;"",IF(AND(B1834='IN-TC'!$S$4,OR(TH!N1834="1111",TH!O1834="1111")),TH!D1834,""),"")</f>
        <v>C110</v>
      </c>
      <c r="B1834" s="34">
        <f t="shared" si="64"/>
        <v>10</v>
      </c>
      <c r="C1834" s="35">
        <f t="shared" si="65"/>
        <v>42662</v>
      </c>
      <c r="D1834" s="212" t="s">
        <v>979</v>
      </c>
      <c r="E1834" s="35">
        <v>42662</v>
      </c>
      <c r="F1834" s="144" t="s">
        <v>1352</v>
      </c>
      <c r="G1834" s="191"/>
      <c r="H1834" s="198"/>
      <c r="I1834" s="186"/>
      <c r="J1834" s="186"/>
      <c r="K1834" s="185"/>
      <c r="L1834" s="186"/>
      <c r="M1834" s="36">
        <v>3000000</v>
      </c>
      <c r="N1834" s="37"/>
      <c r="O1834" s="37" t="s">
        <v>34</v>
      </c>
      <c r="P1834" s="47" t="str">
        <f>IF(AND('331-CT'!$F$5=TH!H1834,OR(N1834="331",O1834="331")),"x","")</f>
        <v/>
      </c>
      <c r="Q1834" s="47" t="str">
        <f>IF(AND(B1834='111'!$L$11,OR($N1834=$Q$7,$O1834=$Q$7)),"x","")</f>
        <v/>
      </c>
      <c r="R1834" s="47" t="str">
        <f>IF(AND($N1834=$Q$7,$B1834&lt;'111'!$L$11),"x","")</f>
        <v/>
      </c>
      <c r="S1834" s="47" t="str">
        <f>IF(AND($O1834=$Q$7,$B1834&lt;'111'!$L$11),"x","")</f>
        <v>x</v>
      </c>
    </row>
    <row r="1835" spans="1:19" ht="15.75" customHeight="1">
      <c r="A1835" s="152" t="str">
        <f>IF(B1835&lt;&gt;"",IF(AND(B1835='IN-TC'!$S$4,OR(TH!N1835="1111",TH!O1835="1111")),TH!D1835,""),"")</f>
        <v>C111</v>
      </c>
      <c r="B1835" s="34">
        <f t="shared" si="64"/>
        <v>10</v>
      </c>
      <c r="C1835" s="35">
        <f t="shared" si="65"/>
        <v>42662</v>
      </c>
      <c r="D1835" s="212" t="s">
        <v>980</v>
      </c>
      <c r="E1835" s="35">
        <v>42662</v>
      </c>
      <c r="F1835" s="144" t="s">
        <v>1353</v>
      </c>
      <c r="G1835" s="191"/>
      <c r="H1835" s="198"/>
      <c r="I1835" s="186"/>
      <c r="J1835" s="186"/>
      <c r="K1835" s="185"/>
      <c r="L1835" s="186"/>
      <c r="M1835" s="36">
        <v>625000</v>
      </c>
      <c r="N1835" s="37"/>
      <c r="O1835" s="37" t="s">
        <v>34</v>
      </c>
      <c r="P1835" s="47" t="str">
        <f>IF(AND('331-CT'!$F$5=TH!H1835,OR(N1835="331",O1835="331")),"x","")</f>
        <v/>
      </c>
      <c r="Q1835" s="47" t="str">
        <f>IF(AND(B1835='111'!$L$11,OR($N1835=$Q$7,$O1835=$Q$7)),"x","")</f>
        <v/>
      </c>
      <c r="R1835" s="47" t="str">
        <f>IF(AND($N1835=$Q$7,$B1835&lt;'111'!$L$11),"x","")</f>
        <v/>
      </c>
      <c r="S1835" s="47" t="str">
        <f>IF(AND($O1835=$Q$7,$B1835&lt;'111'!$L$11),"x","")</f>
        <v>x</v>
      </c>
    </row>
    <row r="1836" spans="1:19" ht="15.75" customHeight="1">
      <c r="A1836" s="152" t="str">
        <f>IF(B1836&lt;&gt;"",IF(AND(B1836='IN-TC'!$S$4,OR(TH!N1836="1111",TH!O1836="1111")),TH!D1836,""),"")</f>
        <v>T17</v>
      </c>
      <c r="B1836" s="34">
        <f t="shared" si="64"/>
        <v>10</v>
      </c>
      <c r="C1836" s="35">
        <f t="shared" si="65"/>
        <v>42662</v>
      </c>
      <c r="D1836" s="212" t="s">
        <v>1135</v>
      </c>
      <c r="E1836" s="35">
        <v>42662</v>
      </c>
      <c r="F1836" s="144" t="s">
        <v>1241</v>
      </c>
      <c r="G1836" s="191" t="s">
        <v>115</v>
      </c>
      <c r="H1836" s="198"/>
      <c r="I1836" s="186"/>
      <c r="J1836" s="186"/>
      <c r="K1836" s="185"/>
      <c r="L1836" s="186"/>
      <c r="M1836" s="36">
        <v>8005000</v>
      </c>
      <c r="N1836" s="37" t="s">
        <v>34</v>
      </c>
      <c r="O1836" s="37"/>
      <c r="P1836" s="47" t="str">
        <f>IF(AND('331-CT'!$F$5=TH!H1836,OR(N1836="331",O1836="331")),"x","")</f>
        <v/>
      </c>
      <c r="Q1836" s="47" t="str">
        <f>IF(AND(B1836='111'!$L$11,OR($N1836=$Q$7,$O1836=$Q$7)),"x","")</f>
        <v/>
      </c>
      <c r="R1836" s="47" t="str">
        <f>IF(AND($N1836=$Q$7,$B1836&lt;'111'!$L$11),"x","")</f>
        <v>x</v>
      </c>
      <c r="S1836" s="47" t="str">
        <f>IF(AND($O1836=$Q$7,$B1836&lt;'111'!$L$11),"x","")</f>
        <v/>
      </c>
    </row>
    <row r="1837" spans="1:19" ht="15.75" customHeight="1">
      <c r="A1837" s="152" t="str">
        <f>IF(B1837&lt;&gt;"",IF(AND(B1837='IN-TC'!$S$4,OR(TH!N1837="1111",TH!O1837="1111")),TH!D1837,""),"")</f>
        <v>C112</v>
      </c>
      <c r="B1837" s="34">
        <f t="shared" si="64"/>
        <v>10</v>
      </c>
      <c r="C1837" s="35">
        <f t="shared" si="65"/>
        <v>42662</v>
      </c>
      <c r="D1837" s="212" t="s">
        <v>981</v>
      </c>
      <c r="E1837" s="35">
        <v>42662</v>
      </c>
      <c r="F1837" s="144" t="s">
        <v>1356</v>
      </c>
      <c r="G1837" s="191" t="s">
        <v>110</v>
      </c>
      <c r="H1837" s="198"/>
      <c r="I1837" s="186"/>
      <c r="J1837" s="186"/>
      <c r="K1837" s="185"/>
      <c r="L1837" s="186"/>
      <c r="M1837" s="36">
        <v>2500000</v>
      </c>
      <c r="N1837" s="37"/>
      <c r="O1837" s="37" t="s">
        <v>34</v>
      </c>
      <c r="P1837" s="47" t="str">
        <f>IF(AND('331-CT'!$F$5=TH!H1837,OR(N1837="331",O1837="331")),"x","")</f>
        <v/>
      </c>
      <c r="Q1837" s="47" t="str">
        <f>IF(AND(B1837='111'!$L$11,OR($N1837=$Q$7,$O1837=$Q$7)),"x","")</f>
        <v/>
      </c>
      <c r="R1837" s="47" t="str">
        <f>IF(AND($N1837=$Q$7,$B1837&lt;'111'!$L$11),"x","")</f>
        <v/>
      </c>
      <c r="S1837" s="47" t="str">
        <f>IF(AND($O1837=$Q$7,$B1837&lt;'111'!$L$11),"x","")</f>
        <v>x</v>
      </c>
    </row>
    <row r="1838" spans="1:19" ht="15.75" customHeight="1">
      <c r="A1838" s="152" t="str">
        <f>IF(B1838&lt;&gt;"",IF(AND(B1838='IN-TC'!$S$4,OR(TH!N1838="1111",TH!O1838="1111")),TH!D1838,""),"")</f>
        <v>C113</v>
      </c>
      <c r="B1838" s="34">
        <f t="shared" si="64"/>
        <v>10</v>
      </c>
      <c r="C1838" s="35">
        <f t="shared" si="65"/>
        <v>42663</v>
      </c>
      <c r="D1838" s="212" t="s">
        <v>982</v>
      </c>
      <c r="E1838" s="35">
        <v>42663</v>
      </c>
      <c r="F1838" s="144" t="s">
        <v>1357</v>
      </c>
      <c r="G1838" s="191"/>
      <c r="H1838" s="198"/>
      <c r="I1838" s="186"/>
      <c r="J1838" s="186"/>
      <c r="K1838" s="185"/>
      <c r="L1838" s="186"/>
      <c r="M1838" s="36">
        <v>3473000</v>
      </c>
      <c r="N1838" s="37"/>
      <c r="O1838" s="37" t="s">
        <v>34</v>
      </c>
      <c r="P1838" s="47" t="str">
        <f>IF(AND('331-CT'!$F$5=TH!H1838,OR(N1838="331",O1838="331")),"x","")</f>
        <v/>
      </c>
      <c r="Q1838" s="47" t="str">
        <f>IF(AND(B1838='111'!$L$11,OR($N1838=$Q$7,$O1838=$Q$7)),"x","")</f>
        <v/>
      </c>
      <c r="R1838" s="47" t="str">
        <f>IF(AND($N1838=$Q$7,$B1838&lt;'111'!$L$11),"x","")</f>
        <v/>
      </c>
      <c r="S1838" s="47" t="str">
        <f>IF(AND($O1838=$Q$7,$B1838&lt;'111'!$L$11),"x","")</f>
        <v>x</v>
      </c>
    </row>
    <row r="1839" spans="1:19" ht="15.75" customHeight="1">
      <c r="A1839" s="152" t="str">
        <f>IF(B1839&lt;&gt;"",IF(AND(B1839='IN-TC'!$S$4,OR(TH!N1839="1111",TH!O1839="1111")),TH!D1839,""),"")</f>
        <v>T18</v>
      </c>
      <c r="B1839" s="34">
        <f t="shared" si="64"/>
        <v>10</v>
      </c>
      <c r="C1839" s="35">
        <f t="shared" si="65"/>
        <v>42663</v>
      </c>
      <c r="D1839" s="212" t="s">
        <v>1172</v>
      </c>
      <c r="E1839" s="35">
        <v>42663</v>
      </c>
      <c r="F1839" s="144" t="s">
        <v>1358</v>
      </c>
      <c r="G1839" s="191" t="s">
        <v>110</v>
      </c>
      <c r="H1839" s="198"/>
      <c r="I1839" s="186"/>
      <c r="J1839" s="186"/>
      <c r="K1839" s="185"/>
      <c r="L1839" s="186"/>
      <c r="M1839" s="36">
        <v>1500000</v>
      </c>
      <c r="N1839" s="37" t="s">
        <v>34</v>
      </c>
      <c r="O1839" s="37"/>
      <c r="P1839" s="47" t="str">
        <f>IF(AND('331-CT'!$F$5=TH!H1839,OR(N1839="331",O1839="331")),"x","")</f>
        <v/>
      </c>
      <c r="Q1839" s="47" t="str">
        <f>IF(AND(B1839='111'!$L$11,OR($N1839=$Q$7,$O1839=$Q$7)),"x","")</f>
        <v/>
      </c>
      <c r="R1839" s="47" t="str">
        <f>IF(AND($N1839=$Q$7,$B1839&lt;'111'!$L$11),"x","")</f>
        <v>x</v>
      </c>
      <c r="S1839" s="47" t="str">
        <f>IF(AND($O1839=$Q$7,$B1839&lt;'111'!$L$11),"x","")</f>
        <v/>
      </c>
    </row>
    <row r="1840" spans="1:19" ht="15.75" customHeight="1">
      <c r="A1840" s="152" t="str">
        <f>IF(B1840&lt;&gt;"",IF(AND(B1840='IN-TC'!$S$4,OR(TH!N1840="1111",TH!O1840="1111")),TH!D1840,""),"")</f>
        <v>C114</v>
      </c>
      <c r="B1840" s="34">
        <f t="shared" si="64"/>
        <v>10</v>
      </c>
      <c r="C1840" s="35">
        <f t="shared" si="65"/>
        <v>42663</v>
      </c>
      <c r="D1840" s="212" t="s">
        <v>983</v>
      </c>
      <c r="E1840" s="35">
        <v>42663</v>
      </c>
      <c r="F1840" s="144" t="s">
        <v>473</v>
      </c>
      <c r="G1840" s="191"/>
      <c r="H1840" s="198"/>
      <c r="I1840" s="186"/>
      <c r="J1840" s="186"/>
      <c r="K1840" s="185"/>
      <c r="L1840" s="186"/>
      <c r="M1840" s="36">
        <v>1555000</v>
      </c>
      <c r="N1840" s="37"/>
      <c r="O1840" s="37" t="s">
        <v>34</v>
      </c>
      <c r="P1840" s="47" t="str">
        <f>IF(AND('331-CT'!$F$5=TH!H1840,OR(N1840="331",O1840="331")),"x","")</f>
        <v/>
      </c>
      <c r="Q1840" s="47" t="str">
        <f>IF(AND(B1840='111'!$L$11,OR($N1840=$Q$7,$O1840=$Q$7)),"x","")</f>
        <v/>
      </c>
      <c r="R1840" s="47" t="str">
        <f>IF(AND($N1840=$Q$7,$B1840&lt;'111'!$L$11),"x","")</f>
        <v/>
      </c>
      <c r="S1840" s="47" t="str">
        <f>IF(AND($O1840=$Q$7,$B1840&lt;'111'!$L$11),"x","")</f>
        <v>x</v>
      </c>
    </row>
    <row r="1841" spans="1:19" ht="15.75" customHeight="1">
      <c r="A1841" s="152" t="str">
        <f>IF(B1841&lt;&gt;"",IF(AND(B1841='IN-TC'!$S$4,OR(TH!N1841="1111",TH!O1841="1111")),TH!D1841,""),"")</f>
        <v>C115</v>
      </c>
      <c r="B1841" s="34">
        <f t="shared" si="64"/>
        <v>10</v>
      </c>
      <c r="C1841" s="35">
        <f t="shared" si="65"/>
        <v>42663</v>
      </c>
      <c r="D1841" s="212" t="s">
        <v>984</v>
      </c>
      <c r="E1841" s="35">
        <v>42663</v>
      </c>
      <c r="F1841" s="144" t="s">
        <v>1359</v>
      </c>
      <c r="G1841" s="191" t="s">
        <v>110</v>
      </c>
      <c r="H1841" s="198"/>
      <c r="I1841" s="186"/>
      <c r="J1841" s="186"/>
      <c r="K1841" s="185"/>
      <c r="L1841" s="186"/>
      <c r="M1841" s="36">
        <v>1000000</v>
      </c>
      <c r="N1841" s="37"/>
      <c r="O1841" s="37" t="s">
        <v>34</v>
      </c>
      <c r="P1841" s="47" t="str">
        <f>IF(AND('331-CT'!$F$5=TH!H1841,OR(N1841="331",O1841="331")),"x","")</f>
        <v/>
      </c>
      <c r="Q1841" s="47" t="str">
        <f>IF(AND(B1841='111'!$L$11,OR($N1841=$Q$7,$O1841=$Q$7)),"x","")</f>
        <v/>
      </c>
      <c r="R1841" s="47" t="str">
        <f>IF(AND($N1841=$Q$7,$B1841&lt;'111'!$L$11),"x","")</f>
        <v/>
      </c>
      <c r="S1841" s="47" t="str">
        <f>IF(AND($O1841=$Q$7,$B1841&lt;'111'!$L$11),"x","")</f>
        <v>x</v>
      </c>
    </row>
    <row r="1842" spans="1:19" ht="15.75" customHeight="1">
      <c r="A1842" s="152" t="str">
        <f>IF(B1842&lt;&gt;"",IF(AND(B1842='IN-TC'!$S$4,OR(TH!N1842="1111",TH!O1842="1111")),TH!D1842,""),"")</f>
        <v>C116</v>
      </c>
      <c r="B1842" s="34">
        <f t="shared" si="64"/>
        <v>10</v>
      </c>
      <c r="C1842" s="35">
        <f t="shared" si="65"/>
        <v>42663</v>
      </c>
      <c r="D1842" s="212" t="s">
        <v>985</v>
      </c>
      <c r="E1842" s="35">
        <v>42663</v>
      </c>
      <c r="F1842" s="144" t="s">
        <v>1360</v>
      </c>
      <c r="G1842" s="191"/>
      <c r="H1842" s="198"/>
      <c r="I1842" s="186"/>
      <c r="J1842" s="186"/>
      <c r="K1842" s="185"/>
      <c r="L1842" s="186"/>
      <c r="M1842" s="36">
        <v>475000</v>
      </c>
      <c r="N1842" s="37"/>
      <c r="O1842" s="37" t="s">
        <v>34</v>
      </c>
      <c r="P1842" s="47" t="str">
        <f>IF(AND('331-CT'!$F$5=TH!H1842,OR(N1842="331",O1842="331")),"x","")</f>
        <v/>
      </c>
      <c r="Q1842" s="47" t="str">
        <f>IF(AND(B1842='111'!$L$11,OR($N1842=$Q$7,$O1842=$Q$7)),"x","")</f>
        <v/>
      </c>
      <c r="R1842" s="47" t="str">
        <f>IF(AND($N1842=$Q$7,$B1842&lt;'111'!$L$11),"x","")</f>
        <v/>
      </c>
      <c r="S1842" s="47" t="str">
        <f>IF(AND($O1842=$Q$7,$B1842&lt;'111'!$L$11),"x","")</f>
        <v>x</v>
      </c>
    </row>
    <row r="1843" spans="1:19" ht="15.75" customHeight="1">
      <c r="A1843" s="152" t="str">
        <f>IF(B1843&lt;&gt;"",IF(AND(B1843='IN-TC'!$S$4,OR(TH!N1843="1111",TH!O1843="1111")),TH!D1843,""),"")</f>
        <v>C117</v>
      </c>
      <c r="B1843" s="34">
        <f t="shared" si="64"/>
        <v>10</v>
      </c>
      <c r="C1843" s="35">
        <f t="shared" si="65"/>
        <v>42663</v>
      </c>
      <c r="D1843" s="212" t="s">
        <v>986</v>
      </c>
      <c r="E1843" s="35">
        <v>42663</v>
      </c>
      <c r="F1843" s="144" t="s">
        <v>602</v>
      </c>
      <c r="G1843" s="191" t="s">
        <v>206</v>
      </c>
      <c r="H1843" s="198" t="s">
        <v>831</v>
      </c>
      <c r="I1843" s="186"/>
      <c r="J1843" s="186"/>
      <c r="K1843" s="185"/>
      <c r="L1843" s="186"/>
      <c r="M1843" s="36">
        <v>65460000</v>
      </c>
      <c r="N1843" s="37" t="s">
        <v>8</v>
      </c>
      <c r="O1843" s="37" t="s">
        <v>34</v>
      </c>
      <c r="P1843" s="47" t="str">
        <f>IF(AND('331-CT'!$F$5=TH!H1843,OR(N1843="331",O1843="331")),"x","")</f>
        <v/>
      </c>
      <c r="Q1843" s="47" t="str">
        <f>IF(AND(B1843='111'!$L$11,OR($N1843=$Q$7,$O1843=$Q$7)),"x","")</f>
        <v/>
      </c>
      <c r="R1843" s="47" t="str">
        <f>IF(AND($N1843=$Q$7,$B1843&lt;'111'!$L$11),"x","")</f>
        <v/>
      </c>
      <c r="S1843" s="47" t="str">
        <f>IF(AND($O1843=$Q$7,$B1843&lt;'111'!$L$11),"x","")</f>
        <v>x</v>
      </c>
    </row>
    <row r="1844" spans="1:19" ht="15.75" customHeight="1">
      <c r="A1844" s="152" t="str">
        <f>IF(B1844&lt;&gt;"",IF(AND(B1844='IN-TC'!$S$4,OR(TH!N1844="1111",TH!O1844="1111")),TH!D1844,""),"")</f>
        <v>C118</v>
      </c>
      <c r="B1844" s="34">
        <f t="shared" si="64"/>
        <v>10</v>
      </c>
      <c r="C1844" s="35">
        <f t="shared" si="65"/>
        <v>42663</v>
      </c>
      <c r="D1844" s="212" t="s">
        <v>987</v>
      </c>
      <c r="E1844" s="35">
        <v>42663</v>
      </c>
      <c r="F1844" s="144" t="s">
        <v>333</v>
      </c>
      <c r="G1844" s="191" t="s">
        <v>206</v>
      </c>
      <c r="H1844" s="198" t="s">
        <v>821</v>
      </c>
      <c r="I1844" s="186"/>
      <c r="J1844" s="186"/>
      <c r="K1844" s="185"/>
      <c r="L1844" s="186"/>
      <c r="M1844" s="36">
        <v>100000000</v>
      </c>
      <c r="N1844" s="37" t="s">
        <v>8</v>
      </c>
      <c r="O1844" s="37" t="s">
        <v>34</v>
      </c>
      <c r="P1844" s="47" t="str">
        <f>IF(AND('331-CT'!$F$5=TH!H1844,OR(N1844="331",O1844="331")),"x","")</f>
        <v/>
      </c>
      <c r="Q1844" s="47" t="str">
        <f>IF(AND(B1844='111'!$L$11,OR($N1844=$Q$7,$O1844=$Q$7)),"x","")</f>
        <v/>
      </c>
      <c r="R1844" s="47" t="str">
        <f>IF(AND($N1844=$Q$7,$B1844&lt;'111'!$L$11),"x","")</f>
        <v/>
      </c>
      <c r="S1844" s="47" t="str">
        <f>IF(AND($O1844=$Q$7,$B1844&lt;'111'!$L$11),"x","")</f>
        <v>x</v>
      </c>
    </row>
    <row r="1845" spans="1:19" ht="15.75" customHeight="1">
      <c r="A1845" s="152" t="str">
        <f>IF(B1845&lt;&gt;"",IF(AND(B1845='IN-TC'!$S$4,OR(TH!N1845="1111",TH!O1845="1111")),TH!D1845,""),"")</f>
        <v>C119</v>
      </c>
      <c r="B1845" s="34">
        <f t="shared" si="64"/>
        <v>10</v>
      </c>
      <c r="C1845" s="35">
        <f t="shared" si="65"/>
        <v>42663</v>
      </c>
      <c r="D1845" s="212" t="s">
        <v>988</v>
      </c>
      <c r="E1845" s="35">
        <v>42663</v>
      </c>
      <c r="F1845" s="144" t="s">
        <v>1361</v>
      </c>
      <c r="G1845" s="191"/>
      <c r="H1845" s="198"/>
      <c r="I1845" s="186"/>
      <c r="J1845" s="186"/>
      <c r="K1845" s="185"/>
      <c r="L1845" s="186"/>
      <c r="M1845" s="36">
        <v>1436000</v>
      </c>
      <c r="N1845" s="37"/>
      <c r="O1845" s="37" t="s">
        <v>34</v>
      </c>
      <c r="P1845" s="47" t="str">
        <f>IF(AND('331-CT'!$F$5=TH!H1845,OR(N1845="331",O1845="331")),"x","")</f>
        <v/>
      </c>
      <c r="Q1845" s="47" t="str">
        <f>IF(AND(B1845='111'!$L$11,OR($N1845=$Q$7,$O1845=$Q$7)),"x","")</f>
        <v/>
      </c>
      <c r="R1845" s="47" t="str">
        <f>IF(AND($N1845=$Q$7,$B1845&lt;'111'!$L$11),"x","")</f>
        <v/>
      </c>
      <c r="S1845" s="47" t="str">
        <f>IF(AND($O1845=$Q$7,$B1845&lt;'111'!$L$11),"x","")</f>
        <v>x</v>
      </c>
    </row>
    <row r="1846" spans="1:19" ht="15.75" customHeight="1">
      <c r="A1846" s="152" t="str">
        <f>IF(B1846&lt;&gt;"",IF(AND(B1846='IN-TC'!$S$4,OR(TH!N1846="1111",TH!O1846="1111")),TH!D1846,""),"")</f>
        <v>C120</v>
      </c>
      <c r="B1846" s="34">
        <f t="shared" si="64"/>
        <v>10</v>
      </c>
      <c r="C1846" s="35">
        <f t="shared" si="65"/>
        <v>42663</v>
      </c>
      <c r="D1846" s="212" t="s">
        <v>989</v>
      </c>
      <c r="E1846" s="35">
        <v>42663</v>
      </c>
      <c r="F1846" s="144" t="s">
        <v>1362</v>
      </c>
      <c r="G1846" s="38" t="s">
        <v>203</v>
      </c>
      <c r="H1846" s="198" t="s">
        <v>1409</v>
      </c>
      <c r="I1846" s="186"/>
      <c r="J1846" s="186"/>
      <c r="K1846" s="185"/>
      <c r="L1846" s="186"/>
      <c r="M1846" s="36">
        <v>10011000</v>
      </c>
      <c r="N1846" s="37" t="s">
        <v>814</v>
      </c>
      <c r="O1846" s="37" t="s">
        <v>34</v>
      </c>
      <c r="P1846" s="47" t="str">
        <f>IF(AND('331-CT'!$F$5=TH!H1846,OR(N1846="331",O1846="331")),"x","")</f>
        <v/>
      </c>
      <c r="Q1846" s="47" t="str">
        <f>IF(AND(B1846='111'!$L$11,OR($N1846=$Q$7,$O1846=$Q$7)),"x","")</f>
        <v/>
      </c>
      <c r="R1846" s="47" t="str">
        <f>IF(AND($N1846=$Q$7,$B1846&lt;'111'!$L$11),"x","")</f>
        <v/>
      </c>
      <c r="S1846" s="47" t="str">
        <f>IF(AND($O1846=$Q$7,$B1846&lt;'111'!$L$11),"x","")</f>
        <v>x</v>
      </c>
    </row>
    <row r="1847" spans="1:19" ht="15.75" customHeight="1">
      <c r="A1847" s="152" t="str">
        <f>IF(B1847&lt;&gt;"",IF(AND(B1847='IN-TC'!$S$4,OR(TH!N1847="1111",TH!O1847="1111")),TH!D1847,""),"")</f>
        <v>C121</v>
      </c>
      <c r="B1847" s="34">
        <f t="shared" si="64"/>
        <v>10</v>
      </c>
      <c r="C1847" s="35">
        <f t="shared" si="65"/>
        <v>42663</v>
      </c>
      <c r="D1847" s="212" t="s">
        <v>990</v>
      </c>
      <c r="E1847" s="35">
        <v>42663</v>
      </c>
      <c r="F1847" s="144" t="s">
        <v>1363</v>
      </c>
      <c r="G1847" s="191"/>
      <c r="H1847" s="198"/>
      <c r="I1847" s="186"/>
      <c r="J1847" s="186"/>
      <c r="K1847" s="185"/>
      <c r="L1847" s="186"/>
      <c r="M1847" s="36">
        <v>37533000</v>
      </c>
      <c r="N1847" s="37"/>
      <c r="O1847" s="37" t="s">
        <v>34</v>
      </c>
      <c r="P1847" s="47" t="str">
        <f>IF(AND('331-CT'!$F$5=TH!H1847,OR(N1847="331",O1847="331")),"x","")</f>
        <v/>
      </c>
      <c r="Q1847" s="47" t="str">
        <f>IF(AND(B1847='111'!$L$11,OR($N1847=$Q$7,$O1847=$Q$7)),"x","")</f>
        <v/>
      </c>
      <c r="R1847" s="47" t="str">
        <f>IF(AND($N1847=$Q$7,$B1847&lt;'111'!$L$11),"x","")</f>
        <v/>
      </c>
      <c r="S1847" s="47" t="str">
        <f>IF(AND($O1847=$Q$7,$B1847&lt;'111'!$L$11),"x","")</f>
        <v>x</v>
      </c>
    </row>
    <row r="1848" spans="1:19" ht="15.75" customHeight="1">
      <c r="A1848" s="152" t="str">
        <f>IF(B1848&lt;&gt;"",IF(AND(B1848='IN-TC'!$S$4,OR(TH!N1848="1111",TH!O1848="1111")),TH!D1848,""),"")</f>
        <v>C123</v>
      </c>
      <c r="B1848" s="34">
        <f t="shared" si="64"/>
        <v>10</v>
      </c>
      <c r="C1848" s="35">
        <f t="shared" si="65"/>
        <v>42663</v>
      </c>
      <c r="D1848" s="212" t="s">
        <v>992</v>
      </c>
      <c r="E1848" s="35">
        <v>42663</v>
      </c>
      <c r="F1848" s="144" t="s">
        <v>1364</v>
      </c>
      <c r="G1848" s="191" t="s">
        <v>110</v>
      </c>
      <c r="H1848" s="198"/>
      <c r="I1848" s="186"/>
      <c r="J1848" s="186"/>
      <c r="K1848" s="185"/>
      <c r="L1848" s="186"/>
      <c r="M1848" s="36">
        <v>20000000</v>
      </c>
      <c r="N1848" s="37"/>
      <c r="O1848" s="37" t="s">
        <v>34</v>
      </c>
      <c r="P1848" s="47" t="str">
        <f>IF(AND('331-CT'!$F$5=TH!H1848,OR(N1848="331",O1848="331")),"x","")</f>
        <v/>
      </c>
      <c r="Q1848" s="47" t="str">
        <f>IF(AND(B1848='111'!$L$11,OR($N1848=$Q$7,$O1848=$Q$7)),"x","")</f>
        <v/>
      </c>
      <c r="R1848" s="47" t="str">
        <f>IF(AND($N1848=$Q$7,$B1848&lt;'111'!$L$11),"x","")</f>
        <v/>
      </c>
      <c r="S1848" s="47" t="str">
        <f>IF(AND($O1848=$Q$7,$B1848&lt;'111'!$L$11),"x","")</f>
        <v>x</v>
      </c>
    </row>
    <row r="1849" spans="1:19" ht="15.75" customHeight="1">
      <c r="A1849" s="152" t="str">
        <f>IF(B1849&lt;&gt;"",IF(AND(B1849='IN-TC'!$S$4,OR(TH!N1849="1111",TH!O1849="1111")),TH!D1849,""),"")</f>
        <v>C124</v>
      </c>
      <c r="B1849" s="34">
        <f t="shared" si="64"/>
        <v>10</v>
      </c>
      <c r="C1849" s="35">
        <f t="shared" si="65"/>
        <v>42663</v>
      </c>
      <c r="D1849" s="212" t="s">
        <v>993</v>
      </c>
      <c r="E1849" s="35">
        <v>42663</v>
      </c>
      <c r="F1849" s="144" t="s">
        <v>1365</v>
      </c>
      <c r="G1849" s="191" t="s">
        <v>207</v>
      </c>
      <c r="H1849" s="198"/>
      <c r="I1849" s="186"/>
      <c r="J1849" s="186"/>
      <c r="K1849" s="185"/>
      <c r="L1849" s="186"/>
      <c r="M1849" s="36">
        <v>600000</v>
      </c>
      <c r="N1849" s="37"/>
      <c r="O1849" s="37" t="s">
        <v>34</v>
      </c>
      <c r="P1849" s="47" t="str">
        <f>IF(AND('331-CT'!$F$5=TH!H1849,OR(N1849="331",O1849="331")),"x","")</f>
        <v/>
      </c>
      <c r="Q1849" s="47" t="str">
        <f>IF(AND(B1849='111'!$L$11,OR($N1849=$Q$7,$O1849=$Q$7)),"x","")</f>
        <v/>
      </c>
      <c r="R1849" s="47" t="str">
        <f>IF(AND($N1849=$Q$7,$B1849&lt;'111'!$L$11),"x","")</f>
        <v/>
      </c>
      <c r="S1849" s="47" t="str">
        <f>IF(AND($O1849=$Q$7,$B1849&lt;'111'!$L$11),"x","")</f>
        <v>x</v>
      </c>
    </row>
    <row r="1850" spans="1:19" ht="15.75" customHeight="1">
      <c r="A1850" s="152" t="str">
        <f>IF(B1850&lt;&gt;"",IF(AND(B1850='IN-TC'!$S$4,OR(TH!N1850="1111",TH!O1850="1111")),TH!D1850,""),"")</f>
        <v/>
      </c>
      <c r="B1850" s="34">
        <f t="shared" si="64"/>
        <v>10</v>
      </c>
      <c r="C1850" s="35">
        <f t="shared" si="65"/>
        <v>42664</v>
      </c>
      <c r="D1850" s="212"/>
      <c r="E1850" s="35">
        <v>42664</v>
      </c>
      <c r="F1850" s="144" t="s">
        <v>1510</v>
      </c>
      <c r="G1850" s="191"/>
      <c r="H1850" s="198" t="s">
        <v>834</v>
      </c>
      <c r="I1850" s="186">
        <v>2258</v>
      </c>
      <c r="J1850" s="186">
        <f>10.2*22299.4</f>
        <v>227453.88</v>
      </c>
      <c r="K1850" s="185"/>
      <c r="L1850" s="186"/>
      <c r="M1850" s="36">
        <f>ROUND(I1850*J1850,-3)</f>
        <v>513591000</v>
      </c>
      <c r="N1850" s="37" t="s">
        <v>1443</v>
      </c>
      <c r="O1850" s="37" t="s">
        <v>8</v>
      </c>
      <c r="P1850" s="47" t="str">
        <f>IF(AND('331-CT'!$F$5=TH!H1850,OR(N1850="331",O1850="331")),"x","")</f>
        <v/>
      </c>
      <c r="Q1850" s="47" t="str">
        <f>IF(AND(B1850='111'!$L$11,OR($N1850=$Q$7,$O1850=$Q$7)),"x","")</f>
        <v/>
      </c>
      <c r="R1850" s="47" t="str">
        <f>IF(AND($N1850=$Q$7,$B1850&lt;'111'!$L$11),"x","")</f>
        <v/>
      </c>
      <c r="S1850" s="47" t="str">
        <f>IF(AND($O1850=$Q$7,$B1850&lt;'111'!$L$11),"x","")</f>
        <v/>
      </c>
    </row>
    <row r="1851" spans="1:19" ht="15.75" customHeight="1">
      <c r="A1851" s="152" t="str">
        <f>IF(B1851&lt;&gt;"",IF(AND(B1851='IN-TC'!$S$4,OR(TH!N1851="1111",TH!O1851="1111")),TH!D1851,""),"")</f>
        <v/>
      </c>
      <c r="B1851" s="34">
        <f t="shared" si="64"/>
        <v>10</v>
      </c>
      <c r="C1851" s="35">
        <f t="shared" si="65"/>
        <v>42664</v>
      </c>
      <c r="D1851" s="212"/>
      <c r="E1851" s="35">
        <v>42664</v>
      </c>
      <c r="F1851" s="144" t="s">
        <v>1525</v>
      </c>
      <c r="G1851" s="191"/>
      <c r="H1851" s="198" t="s">
        <v>834</v>
      </c>
      <c r="I1851" s="186">
        <v>2300</v>
      </c>
      <c r="J1851" s="186">
        <v>10000</v>
      </c>
      <c r="K1851" s="185"/>
      <c r="L1851" s="186"/>
      <c r="M1851" s="36">
        <f>ROUND(I1851*J1851,-3)</f>
        <v>23000000</v>
      </c>
      <c r="N1851" s="37" t="s">
        <v>8</v>
      </c>
      <c r="O1851" s="37" t="s">
        <v>1457</v>
      </c>
      <c r="P1851" s="47" t="str">
        <f>IF(AND('331-CT'!$F$5=TH!H1851,OR(N1851="331",O1851="331")),"x","")</f>
        <v/>
      </c>
      <c r="Q1851" s="47" t="str">
        <f>IF(AND(B1851='111'!$L$11,OR($N1851=$Q$7,$O1851=$Q$7)),"x","")</f>
        <v/>
      </c>
      <c r="R1851" s="47" t="str">
        <f>IF(AND($N1851=$Q$7,$B1851&lt;'111'!$L$11),"x","")</f>
        <v/>
      </c>
      <c r="S1851" s="47" t="str">
        <f>IF(AND($O1851=$Q$7,$B1851&lt;'111'!$L$11),"x","")</f>
        <v/>
      </c>
    </row>
    <row r="1852" spans="1:19" ht="15.75" customHeight="1">
      <c r="A1852" s="152" t="str">
        <f>IF(B1852&lt;&gt;"",IF(AND(B1852='IN-TC'!$S$4,OR(TH!N1852="1111",TH!O1852="1111")),TH!D1852,""),"")</f>
        <v/>
      </c>
      <c r="B1852" s="34">
        <f t="shared" si="64"/>
        <v>10</v>
      </c>
      <c r="C1852" s="35">
        <f t="shared" si="65"/>
        <v>42664</v>
      </c>
      <c r="D1852" s="212"/>
      <c r="E1852" s="35">
        <v>42664</v>
      </c>
      <c r="F1852" s="144" t="s">
        <v>1526</v>
      </c>
      <c r="G1852" s="191"/>
      <c r="H1852" s="198" t="s">
        <v>834</v>
      </c>
      <c r="I1852" s="186">
        <v>1958</v>
      </c>
      <c r="J1852" s="186">
        <v>5000</v>
      </c>
      <c r="K1852" s="185"/>
      <c r="L1852" s="186"/>
      <c r="M1852" s="36">
        <f>ROUND(I1852*J1852,-3)</f>
        <v>9790000</v>
      </c>
      <c r="N1852" s="37" t="s">
        <v>8</v>
      </c>
      <c r="O1852" s="37" t="s">
        <v>1457</v>
      </c>
      <c r="P1852" s="47" t="str">
        <f>IF(AND('331-CT'!$F$5=TH!H1852,OR(N1852="331",O1852="331")),"x","")</f>
        <v/>
      </c>
      <c r="Q1852" s="47" t="str">
        <f>IF(AND(B1852='111'!$L$11,OR($N1852=$Q$7,$O1852=$Q$7)),"x","")</f>
        <v/>
      </c>
      <c r="R1852" s="47" t="str">
        <f>IF(AND($N1852=$Q$7,$B1852&lt;'111'!$L$11),"x","")</f>
        <v/>
      </c>
      <c r="S1852" s="47" t="str">
        <f>IF(AND($O1852=$Q$7,$B1852&lt;'111'!$L$11),"x","")</f>
        <v/>
      </c>
    </row>
    <row r="1853" spans="1:19" ht="15.75" customHeight="1">
      <c r="A1853" s="152" t="str">
        <f>IF(B1853&lt;&gt;"",IF(AND(B1853='IN-TC'!$S$4,OR(TH!N1853="1111",TH!O1853="1111")),TH!D1853,""),"")</f>
        <v>C122</v>
      </c>
      <c r="B1853" s="34">
        <f t="shared" si="64"/>
        <v>10</v>
      </c>
      <c r="C1853" s="35">
        <f t="shared" si="65"/>
        <v>42665</v>
      </c>
      <c r="D1853" s="212" t="s">
        <v>991</v>
      </c>
      <c r="E1853" s="35">
        <v>42665</v>
      </c>
      <c r="F1853" s="144" t="s">
        <v>473</v>
      </c>
      <c r="G1853" s="191"/>
      <c r="H1853" s="198"/>
      <c r="I1853" s="186"/>
      <c r="J1853" s="186"/>
      <c r="K1853" s="185"/>
      <c r="L1853" s="186"/>
      <c r="M1853" s="36">
        <v>6780000</v>
      </c>
      <c r="N1853" s="37"/>
      <c r="O1853" s="37" t="s">
        <v>34</v>
      </c>
      <c r="P1853" s="47" t="str">
        <f>IF(AND('331-CT'!$F$5=TH!H1853,OR(N1853="331",O1853="331")),"x","")</f>
        <v/>
      </c>
      <c r="Q1853" s="47" t="str">
        <f>IF(AND(B1853='111'!$L$11,OR($N1853=$Q$7,$O1853=$Q$7)),"x","")</f>
        <v/>
      </c>
      <c r="R1853" s="47" t="str">
        <f>IF(AND($N1853=$Q$7,$B1853&lt;'111'!$L$11),"x","")</f>
        <v/>
      </c>
      <c r="S1853" s="47" t="str">
        <f>IF(AND($O1853=$Q$7,$B1853&lt;'111'!$L$11),"x","")</f>
        <v>x</v>
      </c>
    </row>
    <row r="1854" spans="1:19" ht="15.75" customHeight="1">
      <c r="A1854" s="152" t="str">
        <f>IF(B1854&lt;&gt;"",IF(AND(B1854='IN-TC'!$S$4,OR(TH!N1854="1111",TH!O1854="1111")),TH!D1854,""),"")</f>
        <v/>
      </c>
      <c r="B1854" s="34">
        <f t="shared" si="64"/>
        <v>10</v>
      </c>
      <c r="C1854" s="35">
        <f t="shared" si="65"/>
        <v>42666</v>
      </c>
      <c r="D1854" s="212"/>
      <c r="E1854" s="35">
        <v>42666</v>
      </c>
      <c r="F1854" s="144" t="s">
        <v>1508</v>
      </c>
      <c r="G1854" s="191" t="s">
        <v>204</v>
      </c>
      <c r="H1854" s="198" t="s">
        <v>820</v>
      </c>
      <c r="I1854" s="186">
        <v>6000</v>
      </c>
      <c r="J1854" s="186">
        <v>52000</v>
      </c>
      <c r="K1854" s="185"/>
      <c r="L1854" s="186"/>
      <c r="M1854" s="36">
        <f>ROUND(I1854*J1854,-3)</f>
        <v>312000000</v>
      </c>
      <c r="N1854" s="37" t="s">
        <v>1443</v>
      </c>
      <c r="O1854" s="37" t="s">
        <v>8</v>
      </c>
      <c r="P1854" s="47" t="str">
        <f>IF(AND('331-CT'!$F$5=TH!H1854,OR(N1854="331",O1854="331")),"x","")</f>
        <v/>
      </c>
      <c r="Q1854" s="47" t="str">
        <f>IF(AND(B1854='111'!$L$11,OR($N1854=$Q$7,$O1854=$Q$7)),"x","")</f>
        <v/>
      </c>
      <c r="R1854" s="47" t="str">
        <f>IF(AND($N1854=$Q$7,$B1854&lt;'111'!$L$11),"x","")</f>
        <v/>
      </c>
      <c r="S1854" s="47" t="str">
        <f>IF(AND($O1854=$Q$7,$B1854&lt;'111'!$L$11),"x","")</f>
        <v/>
      </c>
    </row>
    <row r="1855" spans="1:19" ht="15.75" customHeight="1">
      <c r="A1855" s="152" t="str">
        <f>IF(B1855&lt;&gt;"",IF(AND(B1855='IN-TC'!$S$4,OR(TH!N1855="1111",TH!O1855="1111")),TH!D1855,""),"")</f>
        <v>T19</v>
      </c>
      <c r="B1855" s="34">
        <f t="shared" si="64"/>
        <v>10</v>
      </c>
      <c r="C1855" s="35">
        <f t="shared" si="65"/>
        <v>42667</v>
      </c>
      <c r="D1855" s="212" t="s">
        <v>1279</v>
      </c>
      <c r="E1855" s="35">
        <v>42667</v>
      </c>
      <c r="F1855" s="144" t="s">
        <v>1191</v>
      </c>
      <c r="G1855" s="191" t="s">
        <v>104</v>
      </c>
      <c r="H1855" s="198"/>
      <c r="I1855" s="186"/>
      <c r="J1855" s="186"/>
      <c r="K1855" s="185"/>
      <c r="L1855" s="186"/>
      <c r="M1855" s="36">
        <v>820000000</v>
      </c>
      <c r="N1855" s="37" t="s">
        <v>34</v>
      </c>
      <c r="O1855" s="37"/>
      <c r="P1855" s="47" t="str">
        <f>IF(AND('331-CT'!$F$5=TH!H1855,OR(N1855="331",O1855="331")),"x","")</f>
        <v/>
      </c>
      <c r="Q1855" s="47" t="str">
        <f>IF(AND(B1855='111'!$L$11,OR($N1855=$Q$7,$O1855=$Q$7)),"x","")</f>
        <v/>
      </c>
      <c r="R1855" s="47" t="str">
        <f>IF(AND($N1855=$Q$7,$B1855&lt;'111'!$L$11),"x","")</f>
        <v>x</v>
      </c>
      <c r="S1855" s="47" t="str">
        <f>IF(AND($O1855=$Q$7,$B1855&lt;'111'!$L$11),"x","")</f>
        <v/>
      </c>
    </row>
    <row r="1856" spans="1:19" ht="15.75" customHeight="1">
      <c r="A1856" s="152" t="str">
        <f>IF(B1856&lt;&gt;"",IF(AND(B1856='IN-TC'!$S$4,OR(TH!N1856="1111",TH!O1856="1111")),TH!D1856,""),"")</f>
        <v>C125</v>
      </c>
      <c r="B1856" s="34">
        <f t="shared" si="64"/>
        <v>10</v>
      </c>
      <c r="C1856" s="35">
        <f t="shared" si="65"/>
        <v>42667</v>
      </c>
      <c r="D1856" s="212" t="s">
        <v>994</v>
      </c>
      <c r="E1856" s="35">
        <v>42667</v>
      </c>
      <c r="F1856" s="144" t="s">
        <v>671</v>
      </c>
      <c r="G1856" s="191" t="s">
        <v>207</v>
      </c>
      <c r="H1856" s="198"/>
      <c r="I1856" s="186"/>
      <c r="J1856" s="186"/>
      <c r="K1856" s="185"/>
      <c r="L1856" s="186"/>
      <c r="M1856" s="36">
        <v>500000</v>
      </c>
      <c r="N1856" s="37"/>
      <c r="O1856" s="37" t="s">
        <v>34</v>
      </c>
      <c r="P1856" s="47" t="str">
        <f>IF(AND('331-CT'!$F$5=TH!H1856,OR(N1856="331",O1856="331")),"x","")</f>
        <v/>
      </c>
      <c r="Q1856" s="47" t="str">
        <f>IF(AND(B1856='111'!$L$11,OR($N1856=$Q$7,$O1856=$Q$7)),"x","")</f>
        <v/>
      </c>
      <c r="R1856" s="47" t="str">
        <f>IF(AND($N1856=$Q$7,$B1856&lt;'111'!$L$11),"x","")</f>
        <v/>
      </c>
      <c r="S1856" s="47" t="str">
        <f>IF(AND($O1856=$Q$7,$B1856&lt;'111'!$L$11),"x","")</f>
        <v>x</v>
      </c>
    </row>
    <row r="1857" spans="1:19" ht="15.75" customHeight="1">
      <c r="A1857" s="152" t="str">
        <f>IF(B1857&lt;&gt;"",IF(AND(B1857='IN-TC'!$S$4,OR(TH!N1857="1111",TH!O1857="1111")),TH!D1857,""),"")</f>
        <v>C126</v>
      </c>
      <c r="B1857" s="34">
        <f t="shared" si="64"/>
        <v>10</v>
      </c>
      <c r="C1857" s="35">
        <f t="shared" si="65"/>
        <v>42667</v>
      </c>
      <c r="D1857" s="212" t="s">
        <v>995</v>
      </c>
      <c r="E1857" s="35">
        <v>42667</v>
      </c>
      <c r="F1857" s="144" t="s">
        <v>1366</v>
      </c>
      <c r="G1857" s="191"/>
      <c r="H1857" s="198"/>
      <c r="I1857" s="186"/>
      <c r="J1857" s="186"/>
      <c r="K1857" s="185"/>
      <c r="L1857" s="186"/>
      <c r="M1857" s="36">
        <v>392000</v>
      </c>
      <c r="N1857" s="37"/>
      <c r="O1857" s="37" t="s">
        <v>34</v>
      </c>
      <c r="P1857" s="47" t="str">
        <f>IF(AND('331-CT'!$F$5=TH!H1857,OR(N1857="331",O1857="331")),"x","")</f>
        <v/>
      </c>
      <c r="Q1857" s="47" t="str">
        <f>IF(AND(B1857='111'!$L$11,OR($N1857=$Q$7,$O1857=$Q$7)),"x","")</f>
        <v/>
      </c>
      <c r="R1857" s="47" t="str">
        <f>IF(AND($N1857=$Q$7,$B1857&lt;'111'!$L$11),"x","")</f>
        <v/>
      </c>
      <c r="S1857" s="47" t="str">
        <f>IF(AND($O1857=$Q$7,$B1857&lt;'111'!$L$11),"x","")</f>
        <v>x</v>
      </c>
    </row>
    <row r="1858" spans="1:19" ht="15.75" customHeight="1">
      <c r="A1858" s="152" t="str">
        <f>IF(B1858&lt;&gt;"",IF(AND(B1858='IN-TC'!$S$4,OR(TH!N1858="1111",TH!O1858="1111")),TH!D1858,""),"")</f>
        <v>C127</v>
      </c>
      <c r="B1858" s="34">
        <f t="shared" si="64"/>
        <v>10</v>
      </c>
      <c r="C1858" s="35">
        <f t="shared" si="65"/>
        <v>42667</v>
      </c>
      <c r="D1858" s="212" t="s">
        <v>996</v>
      </c>
      <c r="E1858" s="35">
        <v>42667</v>
      </c>
      <c r="F1858" s="144" t="s">
        <v>1367</v>
      </c>
      <c r="G1858" s="191"/>
      <c r="H1858" s="198"/>
      <c r="I1858" s="186"/>
      <c r="J1858" s="186"/>
      <c r="K1858" s="185"/>
      <c r="L1858" s="186"/>
      <c r="M1858" s="36">
        <v>9020000</v>
      </c>
      <c r="N1858" s="37"/>
      <c r="O1858" s="37" t="s">
        <v>34</v>
      </c>
      <c r="P1858" s="47" t="str">
        <f>IF(AND('331-CT'!$F$5=TH!H1858,OR(N1858="331",O1858="331")),"x","")</f>
        <v/>
      </c>
      <c r="Q1858" s="47" t="str">
        <f>IF(AND(B1858='111'!$L$11,OR($N1858=$Q$7,$O1858=$Q$7)),"x","")</f>
        <v/>
      </c>
      <c r="R1858" s="47" t="str">
        <f>IF(AND($N1858=$Q$7,$B1858&lt;'111'!$L$11),"x","")</f>
        <v/>
      </c>
      <c r="S1858" s="47" t="str">
        <f>IF(AND($O1858=$Q$7,$B1858&lt;'111'!$L$11),"x","")</f>
        <v>x</v>
      </c>
    </row>
    <row r="1859" spans="1:19" ht="15.75" customHeight="1">
      <c r="A1859" s="152" t="str">
        <f>IF(B1859&lt;&gt;"",IF(AND(B1859='IN-TC'!$S$4,OR(TH!N1859="1111",TH!O1859="1111")),TH!D1859,""),"")</f>
        <v>C128</v>
      </c>
      <c r="B1859" s="34">
        <f t="shared" si="64"/>
        <v>10</v>
      </c>
      <c r="C1859" s="35">
        <f t="shared" si="65"/>
        <v>42667</v>
      </c>
      <c r="D1859" s="212" t="s">
        <v>997</v>
      </c>
      <c r="E1859" s="35">
        <v>42667</v>
      </c>
      <c r="F1859" s="144" t="s">
        <v>1368</v>
      </c>
      <c r="G1859" s="191" t="s">
        <v>105</v>
      </c>
      <c r="H1859" s="198" t="s">
        <v>1436</v>
      </c>
      <c r="I1859" s="186"/>
      <c r="J1859" s="186"/>
      <c r="K1859" s="185"/>
      <c r="L1859" s="186"/>
      <c r="M1859" s="36">
        <v>1000000000</v>
      </c>
      <c r="N1859" s="37" t="s">
        <v>812</v>
      </c>
      <c r="O1859" s="37" t="s">
        <v>34</v>
      </c>
      <c r="P1859" s="47" t="str">
        <f>IF(AND('331-CT'!$F$5=TH!H1859,OR(N1859="331",O1859="331")),"x","")</f>
        <v/>
      </c>
      <c r="Q1859" s="47" t="str">
        <f>IF(AND(B1859='111'!$L$11,OR($N1859=$Q$7,$O1859=$Q$7)),"x","")</f>
        <v/>
      </c>
      <c r="R1859" s="47" t="str">
        <f>IF(AND($N1859=$Q$7,$B1859&lt;'111'!$L$11),"x","")</f>
        <v/>
      </c>
      <c r="S1859" s="47" t="str">
        <f>IF(AND($O1859=$Q$7,$B1859&lt;'111'!$L$11),"x","")</f>
        <v>x</v>
      </c>
    </row>
    <row r="1860" spans="1:19" ht="15.75" customHeight="1">
      <c r="A1860" s="152" t="str">
        <f>IF(B1860&lt;&gt;"",IF(AND(B1860='IN-TC'!$S$4,OR(TH!N1860="1111",TH!O1860="1111")),TH!D1860,""),"")</f>
        <v>C128</v>
      </c>
      <c r="B1860" s="34">
        <f t="shared" si="64"/>
        <v>10</v>
      </c>
      <c r="C1860" s="35">
        <f t="shared" si="65"/>
        <v>42667</v>
      </c>
      <c r="D1860" s="212" t="s">
        <v>997</v>
      </c>
      <c r="E1860" s="35">
        <v>42667</v>
      </c>
      <c r="F1860" s="144" t="s">
        <v>203</v>
      </c>
      <c r="G1860" s="191" t="s">
        <v>203</v>
      </c>
      <c r="H1860" s="198" t="s">
        <v>1436</v>
      </c>
      <c r="I1860" s="186"/>
      <c r="J1860" s="186"/>
      <c r="K1860" s="185"/>
      <c r="L1860" s="186"/>
      <c r="M1860" s="36">
        <v>10300000</v>
      </c>
      <c r="N1860" s="37" t="s">
        <v>814</v>
      </c>
      <c r="O1860" s="37" t="s">
        <v>34</v>
      </c>
      <c r="P1860" s="47" t="str">
        <f>IF(AND('331-CT'!$F$5=TH!H1860,OR(N1860="331",O1860="331")),"x","")</f>
        <v/>
      </c>
      <c r="Q1860" s="47" t="str">
        <f>IF(AND(B1860='111'!$L$11,OR($N1860=$Q$7,$O1860=$Q$7)),"x","")</f>
        <v/>
      </c>
      <c r="R1860" s="47" t="str">
        <f>IF(AND($N1860=$Q$7,$B1860&lt;'111'!$L$11),"x","")</f>
        <v/>
      </c>
      <c r="S1860" s="47" t="str">
        <f>IF(AND($O1860=$Q$7,$B1860&lt;'111'!$L$11),"x","")</f>
        <v>x</v>
      </c>
    </row>
    <row r="1861" spans="1:19" ht="15.75" customHeight="1">
      <c r="A1861" s="152" t="str">
        <f>IF(B1861&lt;&gt;"",IF(AND(B1861='IN-TC'!$S$4,OR(TH!N1861="1111",TH!O1861="1111")),TH!D1861,""),"")</f>
        <v>C129</v>
      </c>
      <c r="B1861" s="34">
        <f t="shared" si="64"/>
        <v>10</v>
      </c>
      <c r="C1861" s="35">
        <f t="shared" si="65"/>
        <v>42667</v>
      </c>
      <c r="D1861" s="212" t="s">
        <v>998</v>
      </c>
      <c r="E1861" s="35">
        <v>42667</v>
      </c>
      <c r="F1861" s="144" t="s">
        <v>1369</v>
      </c>
      <c r="G1861" s="191"/>
      <c r="H1861" s="198"/>
      <c r="I1861" s="186"/>
      <c r="J1861" s="186"/>
      <c r="K1861" s="185"/>
      <c r="L1861" s="186"/>
      <c r="M1861" s="36">
        <v>100000</v>
      </c>
      <c r="N1861" s="37"/>
      <c r="O1861" s="37" t="s">
        <v>34</v>
      </c>
      <c r="P1861" s="47" t="str">
        <f>IF(AND('331-CT'!$F$5=TH!H1861,OR(N1861="331",O1861="331")),"x","")</f>
        <v/>
      </c>
      <c r="Q1861" s="47" t="str">
        <f>IF(AND(B1861='111'!$L$11,OR($N1861=$Q$7,$O1861=$Q$7)),"x","")</f>
        <v/>
      </c>
      <c r="R1861" s="47" t="str">
        <f>IF(AND($N1861=$Q$7,$B1861&lt;'111'!$L$11),"x","")</f>
        <v/>
      </c>
      <c r="S1861" s="47" t="str">
        <f>IF(AND($O1861=$Q$7,$B1861&lt;'111'!$L$11),"x","")</f>
        <v>x</v>
      </c>
    </row>
    <row r="1862" spans="1:19" ht="15.75" customHeight="1">
      <c r="A1862" s="152" t="str">
        <f>IF(B1862&lt;&gt;"",IF(AND(B1862='IN-TC'!$S$4,OR(TH!N1862="1111",TH!O1862="1111")),TH!D1862,""),"")</f>
        <v/>
      </c>
      <c r="B1862" s="34">
        <f t="shared" si="64"/>
        <v>10</v>
      </c>
      <c r="C1862" s="35">
        <f t="shared" si="65"/>
        <v>42667</v>
      </c>
      <c r="D1862" s="212"/>
      <c r="E1862" s="35">
        <v>42667</v>
      </c>
      <c r="F1862" s="144" t="s">
        <v>1467</v>
      </c>
      <c r="G1862" s="191"/>
      <c r="H1862" s="198" t="s">
        <v>831</v>
      </c>
      <c r="I1862" s="186">
        <v>2090</v>
      </c>
      <c r="J1862" s="186"/>
      <c r="K1862" s="185"/>
      <c r="L1862" s="186"/>
      <c r="M1862" s="36">
        <f>ROUND(I1862*J1862,-3)</f>
        <v>0</v>
      </c>
      <c r="N1862" s="37" t="s">
        <v>1443</v>
      </c>
      <c r="O1862" s="37" t="s">
        <v>8</v>
      </c>
      <c r="P1862" s="47" t="str">
        <f>IF(AND('331-CT'!$F$5=TH!H1862,OR(N1862="331",O1862="331")),"x","")</f>
        <v/>
      </c>
      <c r="Q1862" s="47" t="str">
        <f>IF(AND(B1862='111'!$L$11,OR($N1862=$Q$7,$O1862=$Q$7)),"x","")</f>
        <v/>
      </c>
      <c r="R1862" s="47" t="str">
        <f>IF(AND($N1862=$Q$7,$B1862&lt;'111'!$L$11),"x","")</f>
        <v/>
      </c>
      <c r="S1862" s="47" t="str">
        <f>IF(AND($O1862=$Q$7,$B1862&lt;'111'!$L$11),"x","")</f>
        <v/>
      </c>
    </row>
    <row r="1863" spans="1:19" ht="15.75" customHeight="1">
      <c r="A1863" s="152" t="str">
        <f>IF(B1863&lt;&gt;"",IF(AND(B1863='IN-TC'!$S$4,OR(TH!N1863="1111",TH!O1863="1111")),TH!D1863,""),"")</f>
        <v>C130</v>
      </c>
      <c r="B1863" s="34">
        <f t="shared" si="64"/>
        <v>10</v>
      </c>
      <c r="C1863" s="35">
        <f t="shared" si="65"/>
        <v>42668</v>
      </c>
      <c r="D1863" s="212" t="s">
        <v>999</v>
      </c>
      <c r="E1863" s="35">
        <v>42668</v>
      </c>
      <c r="F1863" s="144" t="s">
        <v>1370</v>
      </c>
      <c r="G1863" s="191"/>
      <c r="H1863" s="198"/>
      <c r="I1863" s="186"/>
      <c r="J1863" s="186"/>
      <c r="K1863" s="185"/>
      <c r="L1863" s="186"/>
      <c r="M1863" s="36">
        <v>1700000</v>
      </c>
      <c r="N1863" s="37"/>
      <c r="O1863" s="37" t="s">
        <v>34</v>
      </c>
      <c r="P1863" s="47" t="str">
        <f>IF(AND('331-CT'!$F$5=TH!H1863,OR(N1863="331",O1863="331")),"x","")</f>
        <v/>
      </c>
      <c r="Q1863" s="47" t="str">
        <f>IF(AND(B1863='111'!$L$11,OR($N1863=$Q$7,$O1863=$Q$7)),"x","")</f>
        <v/>
      </c>
      <c r="R1863" s="47" t="str">
        <f>IF(AND($N1863=$Q$7,$B1863&lt;'111'!$L$11),"x","")</f>
        <v/>
      </c>
      <c r="S1863" s="47" t="str">
        <f>IF(AND($O1863=$Q$7,$B1863&lt;'111'!$L$11),"x","")</f>
        <v>x</v>
      </c>
    </row>
    <row r="1864" spans="1:19" ht="15.75" customHeight="1">
      <c r="A1864" s="152" t="str">
        <f>IF(B1864&lt;&gt;"",IF(AND(B1864='IN-TC'!$S$4,OR(TH!N1864="1111",TH!O1864="1111")),TH!D1864,""),"")</f>
        <v/>
      </c>
      <c r="B1864" s="34">
        <f t="shared" si="64"/>
        <v>10</v>
      </c>
      <c r="C1864" s="35">
        <f t="shared" si="65"/>
        <v>42668</v>
      </c>
      <c r="D1864" s="212"/>
      <c r="E1864" s="35">
        <v>42668</v>
      </c>
      <c r="F1864" s="144" t="s">
        <v>1467</v>
      </c>
      <c r="G1864" s="191"/>
      <c r="H1864" s="198" t="s">
        <v>831</v>
      </c>
      <c r="I1864" s="186">
        <v>2170</v>
      </c>
      <c r="J1864" s="186"/>
      <c r="K1864" s="185"/>
      <c r="L1864" s="186"/>
      <c r="M1864" s="36">
        <f>ROUND(I1864*J1864,-3)</f>
        <v>0</v>
      </c>
      <c r="N1864" s="37" t="s">
        <v>1443</v>
      </c>
      <c r="O1864" s="37" t="s">
        <v>8</v>
      </c>
      <c r="P1864" s="47" t="str">
        <f>IF(AND('331-CT'!$F$5=TH!H1864,OR(N1864="331",O1864="331")),"x","")</f>
        <v/>
      </c>
      <c r="Q1864" s="47" t="str">
        <f>IF(AND(B1864='111'!$L$11,OR($N1864=$Q$7,$O1864=$Q$7)),"x","")</f>
        <v/>
      </c>
      <c r="R1864" s="47" t="str">
        <f>IF(AND($N1864=$Q$7,$B1864&lt;'111'!$L$11),"x","")</f>
        <v/>
      </c>
      <c r="S1864" s="47" t="str">
        <f>IF(AND($O1864=$Q$7,$B1864&lt;'111'!$L$11),"x","")</f>
        <v/>
      </c>
    </row>
    <row r="1865" spans="1:19" ht="15.75" customHeight="1">
      <c r="A1865" s="152" t="str">
        <f>IF(B1865&lt;&gt;"",IF(AND(B1865='IN-TC'!$S$4,OR(TH!N1865="1111",TH!O1865="1111")),TH!D1865,""),"")</f>
        <v>C131</v>
      </c>
      <c r="B1865" s="34">
        <f t="shared" si="64"/>
        <v>10</v>
      </c>
      <c r="C1865" s="35">
        <f t="shared" si="65"/>
        <v>42669</v>
      </c>
      <c r="D1865" s="212" t="s">
        <v>1000</v>
      </c>
      <c r="E1865" s="35">
        <v>42669</v>
      </c>
      <c r="F1865" s="144" t="s">
        <v>1371</v>
      </c>
      <c r="G1865" s="191" t="s">
        <v>104</v>
      </c>
      <c r="H1865" s="198"/>
      <c r="I1865" s="186"/>
      <c r="J1865" s="186"/>
      <c r="K1865" s="185"/>
      <c r="L1865" s="186"/>
      <c r="M1865" s="36">
        <v>300000000</v>
      </c>
      <c r="N1865" s="37"/>
      <c r="O1865" s="37" t="s">
        <v>34</v>
      </c>
      <c r="P1865" s="47" t="str">
        <f>IF(AND('331-CT'!$F$5=TH!H1865,OR(N1865="331",O1865="331")),"x","")</f>
        <v/>
      </c>
      <c r="Q1865" s="47" t="str">
        <f>IF(AND(B1865='111'!$L$11,OR($N1865=$Q$7,$O1865=$Q$7)),"x","")</f>
        <v/>
      </c>
      <c r="R1865" s="47" t="str">
        <f>IF(AND($N1865=$Q$7,$B1865&lt;'111'!$L$11),"x","")</f>
        <v/>
      </c>
      <c r="S1865" s="47" t="str">
        <f>IF(AND($O1865=$Q$7,$B1865&lt;'111'!$L$11),"x","")</f>
        <v>x</v>
      </c>
    </row>
    <row r="1866" spans="1:19" ht="15.75" customHeight="1">
      <c r="A1866" s="152" t="str">
        <f>IF(B1866&lt;&gt;"",IF(AND(B1866='IN-TC'!$S$4,OR(TH!N1866="1111",TH!O1866="1111")),TH!D1866,""),"")</f>
        <v>C132</v>
      </c>
      <c r="B1866" s="34">
        <f t="shared" si="64"/>
        <v>10</v>
      </c>
      <c r="C1866" s="35">
        <f t="shared" si="65"/>
        <v>42669</v>
      </c>
      <c r="D1866" s="212" t="s">
        <v>1001</v>
      </c>
      <c r="E1866" s="35">
        <v>42669</v>
      </c>
      <c r="F1866" s="144" t="s">
        <v>1372</v>
      </c>
      <c r="G1866" s="191" t="s">
        <v>207</v>
      </c>
      <c r="H1866" s="198"/>
      <c r="I1866" s="186"/>
      <c r="J1866" s="186"/>
      <c r="K1866" s="185"/>
      <c r="L1866" s="186"/>
      <c r="M1866" s="36">
        <v>900000</v>
      </c>
      <c r="N1866" s="37"/>
      <c r="O1866" s="37" t="s">
        <v>34</v>
      </c>
      <c r="P1866" s="47" t="str">
        <f>IF(AND('331-CT'!$F$5=TH!H1866,OR(N1866="331",O1866="331")),"x","")</f>
        <v/>
      </c>
      <c r="Q1866" s="47" t="str">
        <f>IF(AND(B1866='111'!$L$11,OR($N1866=$Q$7,$O1866=$Q$7)),"x","")</f>
        <v/>
      </c>
      <c r="R1866" s="47" t="str">
        <f>IF(AND($N1866=$Q$7,$B1866&lt;'111'!$L$11),"x","")</f>
        <v/>
      </c>
      <c r="S1866" s="47" t="str">
        <f>IF(AND($O1866=$Q$7,$B1866&lt;'111'!$L$11),"x","")</f>
        <v>x</v>
      </c>
    </row>
    <row r="1867" spans="1:19" ht="15.75" customHeight="1">
      <c r="A1867" s="152" t="str">
        <f>IF(B1867&lt;&gt;"",IF(AND(B1867='IN-TC'!$S$4,OR(TH!N1867="1111",TH!O1867="1111")),TH!D1867,""),"")</f>
        <v>C133</v>
      </c>
      <c r="B1867" s="34">
        <f t="shared" si="64"/>
        <v>10</v>
      </c>
      <c r="C1867" s="35">
        <f t="shared" si="65"/>
        <v>42669</v>
      </c>
      <c r="D1867" s="212" t="s">
        <v>1002</v>
      </c>
      <c r="E1867" s="35">
        <v>42669</v>
      </c>
      <c r="F1867" s="144" t="s">
        <v>1373</v>
      </c>
      <c r="G1867" s="191" t="s">
        <v>207</v>
      </c>
      <c r="H1867" s="198"/>
      <c r="I1867" s="186"/>
      <c r="J1867" s="186"/>
      <c r="K1867" s="185"/>
      <c r="L1867" s="186"/>
      <c r="M1867" s="36">
        <v>3434000</v>
      </c>
      <c r="N1867" s="37"/>
      <c r="O1867" s="37" t="s">
        <v>34</v>
      </c>
      <c r="P1867" s="47" t="str">
        <f>IF(AND('331-CT'!$F$5=TH!H1867,OR(N1867="331",O1867="331")),"x","")</f>
        <v/>
      </c>
      <c r="Q1867" s="47" t="str">
        <f>IF(AND(B1867='111'!$L$11,OR($N1867=$Q$7,$O1867=$Q$7)),"x","")</f>
        <v/>
      </c>
      <c r="R1867" s="47" t="str">
        <f>IF(AND($N1867=$Q$7,$B1867&lt;'111'!$L$11),"x","")</f>
        <v/>
      </c>
      <c r="S1867" s="47" t="str">
        <f>IF(AND($O1867=$Q$7,$B1867&lt;'111'!$L$11),"x","")</f>
        <v>x</v>
      </c>
    </row>
    <row r="1868" spans="1:19" ht="15.75" customHeight="1">
      <c r="A1868" s="152" t="str">
        <f>IF(B1868&lt;&gt;"",IF(AND(B1868='IN-TC'!$S$4,OR(TH!N1868="1111",TH!O1868="1111")),TH!D1868,""),"")</f>
        <v>T20</v>
      </c>
      <c r="B1868" s="34">
        <f t="shared" si="64"/>
        <v>10</v>
      </c>
      <c r="C1868" s="35">
        <f t="shared" si="65"/>
        <v>42669</v>
      </c>
      <c r="D1868" s="212" t="s">
        <v>1280</v>
      </c>
      <c r="E1868" s="35">
        <v>42669</v>
      </c>
      <c r="F1868" s="144" t="s">
        <v>1374</v>
      </c>
      <c r="G1868" s="191" t="s">
        <v>110</v>
      </c>
      <c r="H1868" s="198"/>
      <c r="I1868" s="186"/>
      <c r="J1868" s="186"/>
      <c r="K1868" s="185"/>
      <c r="L1868" s="186"/>
      <c r="M1868" s="36">
        <v>3000000</v>
      </c>
      <c r="N1868" s="37" t="s">
        <v>34</v>
      </c>
      <c r="O1868" s="37"/>
      <c r="P1868" s="47" t="str">
        <f>IF(AND('331-CT'!$F$5=TH!H1868,OR(N1868="331",O1868="331")),"x","")</f>
        <v/>
      </c>
      <c r="Q1868" s="47" t="str">
        <f>IF(AND(B1868='111'!$L$11,OR($N1868=$Q$7,$O1868=$Q$7)),"x","")</f>
        <v/>
      </c>
      <c r="R1868" s="47" t="str">
        <f>IF(AND($N1868=$Q$7,$B1868&lt;'111'!$L$11),"x","")</f>
        <v>x</v>
      </c>
      <c r="S1868" s="47" t="str">
        <f>IF(AND($O1868=$Q$7,$B1868&lt;'111'!$L$11),"x","")</f>
        <v/>
      </c>
    </row>
    <row r="1869" spans="1:19" ht="15.75" customHeight="1">
      <c r="A1869" s="152" t="str">
        <f>IF(B1869&lt;&gt;"",IF(AND(B1869='IN-TC'!$S$4,OR(TH!N1869="1111",TH!O1869="1111")),TH!D1869,""),"")</f>
        <v>C134</v>
      </c>
      <c r="B1869" s="34">
        <f t="shared" ref="B1869:B1932" si="66">IF(C1869&lt;&gt;"",MONTH(C1869),"")</f>
        <v>10</v>
      </c>
      <c r="C1869" s="35">
        <f t="shared" ref="C1869:C1932" si="67">E1869</f>
        <v>42669</v>
      </c>
      <c r="D1869" s="212" t="s">
        <v>1003</v>
      </c>
      <c r="E1869" s="35">
        <v>42669</v>
      </c>
      <c r="F1869" s="144" t="s">
        <v>1375</v>
      </c>
      <c r="G1869" s="191"/>
      <c r="H1869" s="198"/>
      <c r="I1869" s="186"/>
      <c r="J1869" s="186"/>
      <c r="K1869" s="185"/>
      <c r="L1869" s="186"/>
      <c r="M1869" s="36">
        <v>1930000</v>
      </c>
      <c r="N1869" s="37"/>
      <c r="O1869" s="37" t="s">
        <v>34</v>
      </c>
      <c r="P1869" s="47" t="str">
        <f>IF(AND('331-CT'!$F$5=TH!H1869,OR(N1869="331",O1869="331")),"x","")</f>
        <v/>
      </c>
      <c r="Q1869" s="47" t="str">
        <f>IF(AND(B1869='111'!$L$11,OR($N1869=$Q$7,$O1869=$Q$7)),"x","")</f>
        <v/>
      </c>
      <c r="R1869" s="47" t="str">
        <f>IF(AND($N1869=$Q$7,$B1869&lt;'111'!$L$11),"x","")</f>
        <v/>
      </c>
      <c r="S1869" s="47" t="str">
        <f>IF(AND($O1869=$Q$7,$B1869&lt;'111'!$L$11),"x","")</f>
        <v>x</v>
      </c>
    </row>
    <row r="1870" spans="1:19" ht="15.75" customHeight="1">
      <c r="A1870" s="152" t="str">
        <f>IF(B1870&lt;&gt;"",IF(AND(B1870='IN-TC'!$S$4,OR(TH!N1870="1111",TH!O1870="1111")),TH!D1870,""),"")</f>
        <v>C135</v>
      </c>
      <c r="B1870" s="34">
        <f t="shared" si="66"/>
        <v>10</v>
      </c>
      <c r="C1870" s="35">
        <f t="shared" si="67"/>
        <v>42669</v>
      </c>
      <c r="D1870" s="212" t="s">
        <v>1004</v>
      </c>
      <c r="E1870" s="35">
        <v>42669</v>
      </c>
      <c r="F1870" s="144" t="s">
        <v>1376</v>
      </c>
      <c r="G1870" s="191"/>
      <c r="H1870" s="198"/>
      <c r="I1870" s="186"/>
      <c r="J1870" s="186"/>
      <c r="K1870" s="185"/>
      <c r="L1870" s="186"/>
      <c r="M1870" s="36">
        <v>386000</v>
      </c>
      <c r="N1870" s="37"/>
      <c r="O1870" s="37" t="s">
        <v>34</v>
      </c>
      <c r="P1870" s="47" t="str">
        <f>IF(AND('331-CT'!$F$5=TH!H1870,OR(N1870="331",O1870="331")),"x","")</f>
        <v/>
      </c>
      <c r="Q1870" s="47" t="str">
        <f>IF(AND(B1870='111'!$L$11,OR($N1870=$Q$7,$O1870=$Q$7)),"x","")</f>
        <v/>
      </c>
      <c r="R1870" s="47" t="str">
        <f>IF(AND($N1870=$Q$7,$B1870&lt;'111'!$L$11),"x","")</f>
        <v/>
      </c>
      <c r="S1870" s="47" t="str">
        <f>IF(AND($O1870=$Q$7,$B1870&lt;'111'!$L$11),"x","")</f>
        <v>x</v>
      </c>
    </row>
    <row r="1871" spans="1:19" ht="15.75" customHeight="1">
      <c r="A1871" s="152" t="str">
        <f>IF(B1871&lt;&gt;"",IF(AND(B1871='IN-TC'!$S$4,OR(TH!N1871="1111",TH!O1871="1111")),TH!D1871,""),"")</f>
        <v>T21</v>
      </c>
      <c r="B1871" s="34">
        <f t="shared" si="66"/>
        <v>10</v>
      </c>
      <c r="C1871" s="35">
        <f t="shared" si="67"/>
        <v>42669</v>
      </c>
      <c r="D1871" s="212" t="s">
        <v>1281</v>
      </c>
      <c r="E1871" s="35">
        <v>42669</v>
      </c>
      <c r="F1871" s="144" t="s">
        <v>1377</v>
      </c>
      <c r="G1871" s="191" t="s">
        <v>110</v>
      </c>
      <c r="H1871" s="198"/>
      <c r="I1871" s="186"/>
      <c r="J1871" s="186"/>
      <c r="K1871" s="185"/>
      <c r="L1871" s="186"/>
      <c r="M1871" s="36">
        <v>4500000</v>
      </c>
      <c r="N1871" s="37" t="s">
        <v>34</v>
      </c>
      <c r="O1871" s="37"/>
      <c r="P1871" s="47" t="str">
        <f>IF(AND('331-CT'!$F$5=TH!H1871,OR(N1871="331",O1871="331")),"x","")</f>
        <v/>
      </c>
      <c r="Q1871" s="47" t="str">
        <f>IF(AND(B1871='111'!$L$11,OR($N1871=$Q$7,$O1871=$Q$7)),"x","")</f>
        <v/>
      </c>
      <c r="R1871" s="47" t="str">
        <f>IF(AND($N1871=$Q$7,$B1871&lt;'111'!$L$11),"x","")</f>
        <v>x</v>
      </c>
      <c r="S1871" s="47" t="str">
        <f>IF(AND($O1871=$Q$7,$B1871&lt;'111'!$L$11),"x","")</f>
        <v/>
      </c>
    </row>
    <row r="1872" spans="1:19" ht="15.75" customHeight="1">
      <c r="A1872" s="152" t="str">
        <f>IF(B1872&lt;&gt;"",IF(AND(B1872='IN-TC'!$S$4,OR(TH!N1872="1111",TH!O1872="1111")),TH!D1872,""),"")</f>
        <v>C136</v>
      </c>
      <c r="B1872" s="34">
        <f t="shared" si="66"/>
        <v>10</v>
      </c>
      <c r="C1872" s="35">
        <f t="shared" si="67"/>
        <v>42669</v>
      </c>
      <c r="D1872" s="212" t="s">
        <v>1005</v>
      </c>
      <c r="E1872" s="35">
        <v>42669</v>
      </c>
      <c r="F1872" s="144" t="s">
        <v>1378</v>
      </c>
      <c r="G1872" s="191"/>
      <c r="H1872" s="198"/>
      <c r="I1872" s="186"/>
      <c r="J1872" s="186"/>
      <c r="K1872" s="185"/>
      <c r="L1872" s="186"/>
      <c r="M1872" s="36">
        <v>7632000</v>
      </c>
      <c r="N1872" s="37"/>
      <c r="O1872" s="37" t="s">
        <v>34</v>
      </c>
      <c r="P1872" s="47" t="str">
        <f>IF(AND('331-CT'!$F$5=TH!H1872,OR(N1872="331",O1872="331")),"x","")</f>
        <v/>
      </c>
      <c r="Q1872" s="47" t="str">
        <f>IF(AND(B1872='111'!$L$11,OR($N1872=$Q$7,$O1872=$Q$7)),"x","")</f>
        <v/>
      </c>
      <c r="R1872" s="47" t="str">
        <f>IF(AND($N1872=$Q$7,$B1872&lt;'111'!$L$11),"x","")</f>
        <v/>
      </c>
      <c r="S1872" s="47" t="str">
        <f>IF(AND($O1872=$Q$7,$B1872&lt;'111'!$L$11),"x","")</f>
        <v>x</v>
      </c>
    </row>
    <row r="1873" spans="1:19" ht="15.75" customHeight="1">
      <c r="A1873" s="152" t="str">
        <f>IF(B1873&lt;&gt;"",IF(AND(B1873='IN-TC'!$S$4,OR(TH!N1873="1111",TH!O1873="1111")),TH!D1873,""),"")</f>
        <v>C137</v>
      </c>
      <c r="B1873" s="34">
        <f t="shared" si="66"/>
        <v>10</v>
      </c>
      <c r="C1873" s="35">
        <f t="shared" si="67"/>
        <v>42669</v>
      </c>
      <c r="D1873" s="212" t="s">
        <v>1006</v>
      </c>
      <c r="E1873" s="35">
        <v>42669</v>
      </c>
      <c r="F1873" s="144" t="s">
        <v>1379</v>
      </c>
      <c r="G1873" s="191"/>
      <c r="H1873" s="198"/>
      <c r="I1873" s="186"/>
      <c r="J1873" s="186"/>
      <c r="K1873" s="185"/>
      <c r="L1873" s="186"/>
      <c r="M1873" s="36">
        <v>1312000</v>
      </c>
      <c r="N1873" s="37"/>
      <c r="O1873" s="37" t="s">
        <v>34</v>
      </c>
      <c r="P1873" s="47" t="str">
        <f>IF(AND('331-CT'!$F$5=TH!H1873,OR(N1873="331",O1873="331")),"x","")</f>
        <v/>
      </c>
      <c r="Q1873" s="47" t="str">
        <f>IF(AND(B1873='111'!$L$11,OR($N1873=$Q$7,$O1873=$Q$7)),"x","")</f>
        <v/>
      </c>
      <c r="R1873" s="47" t="str">
        <f>IF(AND($N1873=$Q$7,$B1873&lt;'111'!$L$11),"x","")</f>
        <v/>
      </c>
      <c r="S1873" s="47" t="str">
        <f>IF(AND($O1873=$Q$7,$B1873&lt;'111'!$L$11),"x","")</f>
        <v>x</v>
      </c>
    </row>
    <row r="1874" spans="1:19" ht="15.75" customHeight="1">
      <c r="A1874" s="152" t="str">
        <f>IF(B1874&lt;&gt;"",IF(AND(B1874='IN-TC'!$S$4,OR(TH!N1874="1111",TH!O1874="1111")),TH!D1874,""),"")</f>
        <v/>
      </c>
      <c r="B1874" s="34">
        <f t="shared" si="66"/>
        <v>10</v>
      </c>
      <c r="C1874" s="35">
        <f t="shared" si="67"/>
        <v>42669</v>
      </c>
      <c r="D1874" s="212"/>
      <c r="E1874" s="35">
        <v>42669</v>
      </c>
      <c r="F1874" s="144" t="s">
        <v>1467</v>
      </c>
      <c r="G1874" s="191"/>
      <c r="H1874" s="198" t="s">
        <v>1123</v>
      </c>
      <c r="I1874" s="186">
        <v>990</v>
      </c>
      <c r="J1874" s="186">
        <v>12000</v>
      </c>
      <c r="K1874" s="185"/>
      <c r="L1874" s="186"/>
      <c r="M1874" s="36">
        <f>ROUND(I1874*J1874,-3)</f>
        <v>11880000</v>
      </c>
      <c r="N1874" s="37" t="s">
        <v>1443</v>
      </c>
      <c r="O1874" s="37" t="s">
        <v>8</v>
      </c>
      <c r="P1874" s="47" t="str">
        <f>IF(AND('331-CT'!$F$5=TH!H1874,OR(N1874="331",O1874="331")),"x","")</f>
        <v/>
      </c>
      <c r="Q1874" s="47" t="str">
        <f>IF(AND(B1874='111'!$L$11,OR($N1874=$Q$7,$O1874=$Q$7)),"x","")</f>
        <v/>
      </c>
      <c r="R1874" s="47" t="str">
        <f>IF(AND($N1874=$Q$7,$B1874&lt;'111'!$L$11),"x","")</f>
        <v/>
      </c>
      <c r="S1874" s="47" t="str">
        <f>IF(AND($O1874=$Q$7,$B1874&lt;'111'!$L$11),"x","")</f>
        <v/>
      </c>
    </row>
    <row r="1875" spans="1:19" ht="15.75" customHeight="1">
      <c r="A1875" s="152" t="str">
        <f>IF(B1875&lt;&gt;"",IF(AND(B1875='IN-TC'!$S$4,OR(TH!N1875="1111",TH!O1875="1111")),TH!D1875,""),"")</f>
        <v/>
      </c>
      <c r="B1875" s="34">
        <f t="shared" si="66"/>
        <v>10</v>
      </c>
      <c r="C1875" s="35">
        <f t="shared" si="67"/>
        <v>42669</v>
      </c>
      <c r="D1875" s="212"/>
      <c r="E1875" s="35">
        <v>42669</v>
      </c>
      <c r="F1875" s="144" t="s">
        <v>1467</v>
      </c>
      <c r="G1875" s="191"/>
      <c r="H1875" s="198" t="s">
        <v>831</v>
      </c>
      <c r="I1875" s="186">
        <v>1590</v>
      </c>
      <c r="J1875" s="186"/>
      <c r="K1875" s="185"/>
      <c r="L1875" s="186"/>
      <c r="M1875" s="36">
        <f>ROUND(I1875*J1875,-3)</f>
        <v>0</v>
      </c>
      <c r="N1875" s="37" t="s">
        <v>1443</v>
      </c>
      <c r="O1875" s="37" t="s">
        <v>8</v>
      </c>
      <c r="P1875" s="47" t="str">
        <f>IF(AND('331-CT'!$F$5=TH!H1875,OR(N1875="331",O1875="331")),"x","")</f>
        <v/>
      </c>
      <c r="Q1875" s="47" t="str">
        <f>IF(AND(B1875='111'!$L$11,OR($N1875=$Q$7,$O1875=$Q$7)),"x","")</f>
        <v/>
      </c>
      <c r="R1875" s="47" t="str">
        <f>IF(AND($N1875=$Q$7,$B1875&lt;'111'!$L$11),"x","")</f>
        <v/>
      </c>
      <c r="S1875" s="47" t="str">
        <f>IF(AND($O1875=$Q$7,$B1875&lt;'111'!$L$11),"x","")</f>
        <v/>
      </c>
    </row>
    <row r="1876" spans="1:19" ht="15.75" customHeight="1">
      <c r="A1876" s="152" t="str">
        <f>IF(B1876&lt;&gt;"",IF(AND(B1876='IN-TC'!$S$4,OR(TH!N1876="1111",TH!O1876="1111")),TH!D1876,""),"")</f>
        <v>C138</v>
      </c>
      <c r="B1876" s="34">
        <f t="shared" si="66"/>
        <v>10</v>
      </c>
      <c r="C1876" s="35">
        <f t="shared" si="67"/>
        <v>42670</v>
      </c>
      <c r="D1876" s="212" t="s">
        <v>1007</v>
      </c>
      <c r="E1876" s="35">
        <v>42670</v>
      </c>
      <c r="F1876" s="144" t="s">
        <v>1149</v>
      </c>
      <c r="G1876" s="191" t="s">
        <v>206</v>
      </c>
      <c r="H1876" s="198" t="s">
        <v>849</v>
      </c>
      <c r="I1876" s="186"/>
      <c r="J1876" s="186"/>
      <c r="K1876" s="185"/>
      <c r="L1876" s="186"/>
      <c r="M1876" s="36">
        <v>100000000</v>
      </c>
      <c r="N1876" s="37" t="s">
        <v>8</v>
      </c>
      <c r="O1876" s="37" t="s">
        <v>34</v>
      </c>
      <c r="P1876" s="47" t="str">
        <f>IF(AND('331-CT'!$F$5=TH!H1876,OR(N1876="331",O1876="331")),"x","")</f>
        <v/>
      </c>
      <c r="Q1876" s="47" t="str">
        <f>IF(AND(B1876='111'!$L$11,OR($N1876=$Q$7,$O1876=$Q$7)),"x","")</f>
        <v/>
      </c>
      <c r="R1876" s="47" t="str">
        <f>IF(AND($N1876=$Q$7,$B1876&lt;'111'!$L$11),"x","")</f>
        <v/>
      </c>
      <c r="S1876" s="47" t="str">
        <f>IF(AND($O1876=$Q$7,$B1876&lt;'111'!$L$11),"x","")</f>
        <v>x</v>
      </c>
    </row>
    <row r="1877" spans="1:19" ht="15.75" customHeight="1">
      <c r="A1877" s="152" t="str">
        <f>IF(B1877&lt;&gt;"",IF(AND(B1877='IN-TC'!$S$4,OR(TH!N1877="1111",TH!O1877="1111")),TH!D1877,""),"")</f>
        <v>C139</v>
      </c>
      <c r="B1877" s="34">
        <f t="shared" si="66"/>
        <v>10</v>
      </c>
      <c r="C1877" s="35">
        <f t="shared" si="67"/>
        <v>42670</v>
      </c>
      <c r="D1877" s="212" t="s">
        <v>1008</v>
      </c>
      <c r="E1877" s="35">
        <v>42670</v>
      </c>
      <c r="F1877" s="144" t="s">
        <v>1380</v>
      </c>
      <c r="G1877" s="191"/>
      <c r="H1877" s="198"/>
      <c r="I1877" s="186"/>
      <c r="J1877" s="186"/>
      <c r="K1877" s="185"/>
      <c r="L1877" s="186"/>
      <c r="M1877" s="36">
        <v>5000000</v>
      </c>
      <c r="N1877" s="37"/>
      <c r="O1877" s="37" t="s">
        <v>34</v>
      </c>
      <c r="P1877" s="47" t="str">
        <f>IF(AND('331-CT'!$F$5=TH!H1877,OR(N1877="331",O1877="331")),"x","")</f>
        <v/>
      </c>
      <c r="Q1877" s="47" t="str">
        <f>IF(AND(B1877='111'!$L$11,OR($N1877=$Q$7,$O1877=$Q$7)),"x","")</f>
        <v/>
      </c>
      <c r="R1877" s="47" t="str">
        <f>IF(AND($N1877=$Q$7,$B1877&lt;'111'!$L$11),"x","")</f>
        <v/>
      </c>
      <c r="S1877" s="47" t="str">
        <f>IF(AND($O1877=$Q$7,$B1877&lt;'111'!$L$11),"x","")</f>
        <v>x</v>
      </c>
    </row>
    <row r="1878" spans="1:19" ht="15.75" customHeight="1">
      <c r="A1878" s="152" t="str">
        <f>IF(B1878&lt;&gt;"",IF(AND(B1878='IN-TC'!$S$4,OR(TH!N1878="1111",TH!O1878="1111")),TH!D1878,""),"")</f>
        <v>C140</v>
      </c>
      <c r="B1878" s="34">
        <f t="shared" si="66"/>
        <v>10</v>
      </c>
      <c r="C1878" s="35">
        <f t="shared" si="67"/>
        <v>42670</v>
      </c>
      <c r="D1878" s="212" t="s">
        <v>1009</v>
      </c>
      <c r="E1878" s="35">
        <v>42670</v>
      </c>
      <c r="F1878" s="144" t="s">
        <v>1381</v>
      </c>
      <c r="G1878" s="191" t="s">
        <v>110</v>
      </c>
      <c r="H1878" s="198"/>
      <c r="I1878" s="186"/>
      <c r="J1878" s="186"/>
      <c r="K1878" s="185"/>
      <c r="L1878" s="186"/>
      <c r="M1878" s="36">
        <v>2000000</v>
      </c>
      <c r="N1878" s="37"/>
      <c r="O1878" s="37" t="s">
        <v>34</v>
      </c>
      <c r="P1878" s="47" t="str">
        <f>IF(AND('331-CT'!$F$5=TH!H1878,OR(N1878="331",O1878="331")),"x","")</f>
        <v/>
      </c>
      <c r="Q1878" s="47" t="str">
        <f>IF(AND(B1878='111'!$L$11,OR($N1878=$Q$7,$O1878=$Q$7)),"x","")</f>
        <v/>
      </c>
      <c r="R1878" s="47" t="str">
        <f>IF(AND($N1878=$Q$7,$B1878&lt;'111'!$L$11),"x","")</f>
        <v/>
      </c>
      <c r="S1878" s="47" t="str">
        <f>IF(AND($O1878=$Q$7,$B1878&lt;'111'!$L$11),"x","")</f>
        <v>x</v>
      </c>
    </row>
    <row r="1879" spans="1:19" ht="15.75" customHeight="1">
      <c r="A1879" s="152" t="str">
        <f>IF(B1879&lt;&gt;"",IF(AND(B1879='IN-TC'!$S$4,OR(TH!N1879="1111",TH!O1879="1111")),TH!D1879,""),"")</f>
        <v/>
      </c>
      <c r="B1879" s="34">
        <f t="shared" si="66"/>
        <v>10</v>
      </c>
      <c r="C1879" s="35">
        <f t="shared" si="67"/>
        <v>42670</v>
      </c>
      <c r="D1879" s="212"/>
      <c r="E1879" s="35">
        <v>42670</v>
      </c>
      <c r="F1879" s="144" t="s">
        <v>1467</v>
      </c>
      <c r="G1879" s="191"/>
      <c r="H1879" s="198" t="s">
        <v>831</v>
      </c>
      <c r="I1879" s="186">
        <v>2130</v>
      </c>
      <c r="J1879" s="186"/>
      <c r="K1879" s="185"/>
      <c r="L1879" s="186"/>
      <c r="M1879" s="36">
        <f>ROUND(I1879*J1879,-3)</f>
        <v>0</v>
      </c>
      <c r="N1879" s="37" t="s">
        <v>1443</v>
      </c>
      <c r="O1879" s="37" t="s">
        <v>8</v>
      </c>
      <c r="P1879" s="47" t="str">
        <f>IF(AND('331-CT'!$F$5=TH!H1879,OR(N1879="331",O1879="331")),"x","")</f>
        <v/>
      </c>
      <c r="Q1879" s="47" t="str">
        <f>IF(AND(B1879='111'!$L$11,OR($N1879=$Q$7,$O1879=$Q$7)),"x","")</f>
        <v/>
      </c>
      <c r="R1879" s="47" t="str">
        <f>IF(AND($N1879=$Q$7,$B1879&lt;'111'!$L$11),"x","")</f>
        <v/>
      </c>
      <c r="S1879" s="47" t="str">
        <f>IF(AND($O1879=$Q$7,$B1879&lt;'111'!$L$11),"x","")</f>
        <v/>
      </c>
    </row>
    <row r="1880" spans="1:19" ht="15.75" customHeight="1">
      <c r="A1880" s="152" t="str">
        <f>IF(B1880&lt;&gt;"",IF(AND(B1880='IN-TC'!$S$4,OR(TH!N1880="1111",TH!O1880="1111")),TH!D1880,""),"")</f>
        <v/>
      </c>
      <c r="B1880" s="34">
        <f t="shared" si="66"/>
        <v>11</v>
      </c>
      <c r="C1880" s="35">
        <f t="shared" si="67"/>
        <v>42675</v>
      </c>
      <c r="D1880" s="212"/>
      <c r="E1880" s="35">
        <v>42675</v>
      </c>
      <c r="F1880" s="144" t="s">
        <v>1469</v>
      </c>
      <c r="G1880" s="191" t="s">
        <v>204</v>
      </c>
      <c r="H1880" s="198" t="s">
        <v>840</v>
      </c>
      <c r="I1880" s="186">
        <v>2640</v>
      </c>
      <c r="J1880" s="186">
        <v>18000</v>
      </c>
      <c r="K1880" s="185"/>
      <c r="L1880" s="186"/>
      <c r="M1880" s="36">
        <f t="shared" ref="M1880:M1883" si="68">ROUND(I1880*J1880,-3)</f>
        <v>47520000</v>
      </c>
      <c r="N1880" s="37" t="s">
        <v>1443</v>
      </c>
      <c r="O1880" s="37" t="s">
        <v>8</v>
      </c>
      <c r="P1880" s="47" t="str">
        <f>IF(AND('331-CT'!$F$5=TH!H1880,OR(N1880="331",O1880="331")),"x","")</f>
        <v/>
      </c>
      <c r="Q1880" s="47" t="str">
        <f>IF(AND(B1880='111'!$L$11,OR($N1880=$Q$7,$O1880=$Q$7)),"x","")</f>
        <v/>
      </c>
      <c r="R1880" s="47" t="str">
        <f>IF(AND($N1880=$Q$7,$B1880&lt;'111'!$L$11),"x","")</f>
        <v/>
      </c>
      <c r="S1880" s="47" t="str">
        <f>IF(AND($O1880=$Q$7,$B1880&lt;'111'!$L$11),"x","")</f>
        <v/>
      </c>
    </row>
    <row r="1881" spans="1:19" ht="15.75" customHeight="1">
      <c r="A1881" s="152" t="str">
        <f>IF(B1881&lt;&gt;"",IF(AND(B1881='IN-TC'!$S$4,OR(TH!N1881="1111",TH!O1881="1111")),TH!D1881,""),"")</f>
        <v/>
      </c>
      <c r="B1881" s="34">
        <f t="shared" si="66"/>
        <v>11</v>
      </c>
      <c r="C1881" s="35">
        <f t="shared" si="67"/>
        <v>42676</v>
      </c>
      <c r="D1881" s="212"/>
      <c r="E1881" s="35">
        <v>42676</v>
      </c>
      <c r="F1881" s="144" t="s">
        <v>1565</v>
      </c>
      <c r="G1881" s="191" t="s">
        <v>204</v>
      </c>
      <c r="H1881" s="198" t="s">
        <v>825</v>
      </c>
      <c r="I1881" s="186">
        <v>4995</v>
      </c>
      <c r="J1881" s="186">
        <v>32000</v>
      </c>
      <c r="K1881" s="185"/>
      <c r="L1881" s="186"/>
      <c r="M1881" s="36">
        <f t="shared" si="68"/>
        <v>159840000</v>
      </c>
      <c r="N1881" s="37" t="s">
        <v>1443</v>
      </c>
      <c r="O1881" s="37" t="s">
        <v>8</v>
      </c>
      <c r="P1881" s="47" t="str">
        <f>IF(AND('331-CT'!$F$5=TH!H1881,OR(N1881="331",O1881="331")),"x","")</f>
        <v/>
      </c>
      <c r="Q1881" s="47" t="str">
        <f>IF(AND(B1881='111'!$L$11,OR($N1881=$Q$7,$O1881=$Q$7)),"x","")</f>
        <v/>
      </c>
      <c r="R1881" s="47" t="str">
        <f>IF(AND($N1881=$Q$7,$B1881&lt;'111'!$L$11),"x","")</f>
        <v/>
      </c>
      <c r="S1881" s="47" t="str">
        <f>IF(AND($O1881=$Q$7,$B1881&lt;'111'!$L$11),"x","")</f>
        <v/>
      </c>
    </row>
    <row r="1882" spans="1:19" ht="15.75" customHeight="1">
      <c r="A1882" s="152" t="str">
        <f>IF(B1882&lt;&gt;"",IF(AND(B1882='IN-TC'!$S$4,OR(TH!N1882="1111",TH!O1882="1111")),TH!D1882,""),"")</f>
        <v/>
      </c>
      <c r="B1882" s="34">
        <f t="shared" si="66"/>
        <v>11</v>
      </c>
      <c r="C1882" s="35">
        <f t="shared" si="67"/>
        <v>42676</v>
      </c>
      <c r="D1882" s="212"/>
      <c r="E1882" s="35">
        <v>42676</v>
      </c>
      <c r="F1882" s="144" t="s">
        <v>1495</v>
      </c>
      <c r="G1882" s="191" t="s">
        <v>204</v>
      </c>
      <c r="H1882" s="198" t="s">
        <v>1393</v>
      </c>
      <c r="I1882" s="186">
        <v>5008</v>
      </c>
      <c r="J1882" s="186">
        <v>9000</v>
      </c>
      <c r="K1882" s="185"/>
      <c r="L1882" s="186"/>
      <c r="M1882" s="36">
        <f t="shared" si="68"/>
        <v>45072000</v>
      </c>
      <c r="N1882" s="37" t="s">
        <v>1443</v>
      </c>
      <c r="O1882" s="37" t="s">
        <v>8</v>
      </c>
      <c r="P1882" s="47" t="str">
        <f>IF(AND('331-CT'!$F$5=TH!H1882,OR(N1882="331",O1882="331")),"x","")</f>
        <v>x</v>
      </c>
      <c r="Q1882" s="47" t="str">
        <f>IF(AND(B1882='111'!$L$11,OR($N1882=$Q$7,$O1882=$Q$7)),"x","")</f>
        <v/>
      </c>
      <c r="R1882" s="47" t="str">
        <f>IF(AND($N1882=$Q$7,$B1882&lt;'111'!$L$11),"x","")</f>
        <v/>
      </c>
      <c r="S1882" s="47" t="str">
        <f>IF(AND($O1882=$Q$7,$B1882&lt;'111'!$L$11),"x","")</f>
        <v/>
      </c>
    </row>
    <row r="1883" spans="1:19" ht="15.75" customHeight="1">
      <c r="A1883" s="152" t="str">
        <f>IF(B1883&lt;&gt;"",IF(AND(B1883='IN-TC'!$S$4,OR(TH!N1883="1111",TH!O1883="1111")),TH!D1883,""),"")</f>
        <v/>
      </c>
      <c r="B1883" s="34">
        <f t="shared" si="66"/>
        <v>11</v>
      </c>
      <c r="C1883" s="35">
        <f t="shared" si="67"/>
        <v>42677</v>
      </c>
      <c r="D1883" s="212"/>
      <c r="E1883" s="35">
        <v>42677</v>
      </c>
      <c r="F1883" s="144" t="s">
        <v>1566</v>
      </c>
      <c r="G1883" s="191" t="s">
        <v>204</v>
      </c>
      <c r="H1883" s="198" t="s">
        <v>1393</v>
      </c>
      <c r="I1883" s="186">
        <v>4761</v>
      </c>
      <c r="J1883" s="186">
        <v>18000</v>
      </c>
      <c r="K1883" s="185"/>
      <c r="L1883" s="186"/>
      <c r="M1883" s="36">
        <f t="shared" si="68"/>
        <v>85698000</v>
      </c>
      <c r="N1883" s="37" t="s">
        <v>1443</v>
      </c>
      <c r="O1883" s="37" t="s">
        <v>8</v>
      </c>
      <c r="P1883" s="47" t="str">
        <f>IF(AND('331-CT'!$F$5=TH!H1883,OR(N1883="331",O1883="331")),"x","")</f>
        <v>x</v>
      </c>
      <c r="Q1883" s="47" t="str">
        <f>IF(AND(B1883='111'!$L$11,OR($N1883=$Q$7,$O1883=$Q$7)),"x","")</f>
        <v/>
      </c>
      <c r="R1883" s="47" t="str">
        <f>IF(AND($N1883=$Q$7,$B1883&lt;'111'!$L$11),"x","")</f>
        <v/>
      </c>
      <c r="S1883" s="47" t="str">
        <f>IF(AND($O1883=$Q$7,$B1883&lt;'111'!$L$11),"x","")</f>
        <v/>
      </c>
    </row>
    <row r="1884" spans="1:19" ht="15.75" customHeight="1">
      <c r="A1884" s="152" t="str">
        <f>IF(B1884&lt;&gt;"",IF(AND(B1884='IN-TC'!$S$4,OR(TH!N1884="1111",TH!O1884="1111")),TH!D1884,""),"")</f>
        <v/>
      </c>
      <c r="B1884" s="34">
        <f t="shared" si="66"/>
        <v>11</v>
      </c>
      <c r="C1884" s="35">
        <f t="shared" si="67"/>
        <v>42677</v>
      </c>
      <c r="D1884" s="212"/>
      <c r="E1884" s="35">
        <v>42677</v>
      </c>
      <c r="F1884" s="144" t="s">
        <v>1451</v>
      </c>
      <c r="G1884" s="191" t="s">
        <v>204</v>
      </c>
      <c r="H1884" s="198" t="s">
        <v>1393</v>
      </c>
      <c r="I1884" s="186">
        <v>13</v>
      </c>
      <c r="J1884" s="186"/>
      <c r="K1884" s="185"/>
      <c r="L1884" s="186"/>
      <c r="M1884" s="36">
        <f t="shared" ref="M1884:M1900" si="69">ROUND(I1884*J1884,-3)</f>
        <v>0</v>
      </c>
      <c r="N1884" s="37" t="s">
        <v>1443</v>
      </c>
      <c r="O1884" s="37" t="s">
        <v>8</v>
      </c>
      <c r="P1884" s="47" t="str">
        <f>IF(AND('331-CT'!$F$5=TH!H1884,OR(N1884="331",O1884="331")),"x","")</f>
        <v>x</v>
      </c>
      <c r="Q1884" s="47" t="str">
        <f>IF(AND(B1884='111'!$L$11,OR($N1884=$Q$7,$O1884=$Q$7)),"x","")</f>
        <v/>
      </c>
      <c r="R1884" s="47" t="str">
        <f>IF(AND($N1884=$Q$7,$B1884&lt;'111'!$L$11),"x","")</f>
        <v/>
      </c>
      <c r="S1884" s="47" t="str">
        <f>IF(AND($O1884=$Q$7,$B1884&lt;'111'!$L$11),"x","")</f>
        <v/>
      </c>
    </row>
    <row r="1885" spans="1:19" ht="15.75" customHeight="1">
      <c r="A1885" s="152" t="str">
        <f>IF(B1885&lt;&gt;"",IF(AND(B1885='IN-TC'!$S$4,OR(TH!N1885="1111",TH!O1885="1111")),TH!D1885,""),"")</f>
        <v/>
      </c>
      <c r="B1885" s="34">
        <f t="shared" si="66"/>
        <v>11</v>
      </c>
      <c r="C1885" s="35">
        <f t="shared" si="67"/>
        <v>42678</v>
      </c>
      <c r="D1885" s="212"/>
      <c r="E1885" s="35">
        <v>42678</v>
      </c>
      <c r="F1885" s="144" t="s">
        <v>1567</v>
      </c>
      <c r="G1885" s="191" t="s">
        <v>204</v>
      </c>
      <c r="H1885" s="198" t="s">
        <v>820</v>
      </c>
      <c r="I1885" s="186">
        <v>2000</v>
      </c>
      <c r="J1885" s="186">
        <v>52000</v>
      </c>
      <c r="K1885" s="185"/>
      <c r="L1885" s="186"/>
      <c r="M1885" s="36">
        <f t="shared" si="69"/>
        <v>104000000</v>
      </c>
      <c r="N1885" s="37" t="s">
        <v>1443</v>
      </c>
      <c r="O1885" s="37" t="s">
        <v>8</v>
      </c>
      <c r="P1885" s="47" t="str">
        <f>IF(AND('331-CT'!$F$5=TH!H1885,OR(N1885="331",O1885="331")),"x","")</f>
        <v/>
      </c>
      <c r="Q1885" s="47" t="str">
        <f>IF(AND(B1885='111'!$L$11,OR($N1885=$Q$7,$O1885=$Q$7)),"x","")</f>
        <v/>
      </c>
      <c r="R1885" s="47" t="str">
        <f>IF(AND($N1885=$Q$7,$B1885&lt;'111'!$L$11),"x","")</f>
        <v/>
      </c>
      <c r="S1885" s="47" t="str">
        <f>IF(AND($O1885=$Q$7,$B1885&lt;'111'!$L$11),"x","")</f>
        <v/>
      </c>
    </row>
    <row r="1886" spans="1:19" ht="15.75" customHeight="1">
      <c r="A1886" s="152" t="str">
        <f>IF(B1886&lt;&gt;"",IF(AND(B1886='IN-TC'!$S$4,OR(TH!N1886="1111",TH!O1886="1111")),TH!D1886,""),"")</f>
        <v/>
      </c>
      <c r="B1886" s="34">
        <f t="shared" si="66"/>
        <v>11</v>
      </c>
      <c r="C1886" s="35">
        <f t="shared" si="67"/>
        <v>42678</v>
      </c>
      <c r="D1886" s="212"/>
      <c r="E1886" s="35">
        <v>42678</v>
      </c>
      <c r="F1886" s="144" t="s">
        <v>1568</v>
      </c>
      <c r="G1886" s="191" t="s">
        <v>204</v>
      </c>
      <c r="H1886" s="198" t="s">
        <v>1569</v>
      </c>
      <c r="I1886" s="186">
        <v>180</v>
      </c>
      <c r="J1886" s="186">
        <v>96000</v>
      </c>
      <c r="K1886" s="185"/>
      <c r="L1886" s="186"/>
      <c r="M1886" s="36">
        <f t="shared" si="69"/>
        <v>17280000</v>
      </c>
      <c r="N1886" s="37" t="s">
        <v>1443</v>
      </c>
      <c r="O1886" s="37" t="s">
        <v>8</v>
      </c>
      <c r="P1886" s="47" t="str">
        <f>IF(AND('331-CT'!$F$5=TH!H1886,OR(N1886="331",O1886="331")),"x","")</f>
        <v/>
      </c>
      <c r="Q1886" s="47" t="str">
        <f>IF(AND(B1886='111'!$L$11,OR($N1886=$Q$7,$O1886=$Q$7)),"x","")</f>
        <v/>
      </c>
      <c r="R1886" s="47" t="str">
        <f>IF(AND($N1886=$Q$7,$B1886&lt;'111'!$L$11),"x","")</f>
        <v/>
      </c>
      <c r="S1886" s="47" t="str">
        <f>IF(AND($O1886=$Q$7,$B1886&lt;'111'!$L$11),"x","")</f>
        <v/>
      </c>
    </row>
    <row r="1887" spans="1:19" ht="15.75" customHeight="1">
      <c r="A1887" s="152" t="str">
        <f>IF(B1887&lt;&gt;"",IF(AND(B1887='IN-TC'!$S$4,OR(TH!N1887="1111",TH!O1887="1111")),TH!D1887,""),"")</f>
        <v/>
      </c>
      <c r="B1887" s="34">
        <f t="shared" si="66"/>
        <v>11</v>
      </c>
      <c r="C1887" s="35">
        <f t="shared" si="67"/>
        <v>42678</v>
      </c>
      <c r="D1887" s="212"/>
      <c r="E1887" s="35">
        <v>42678</v>
      </c>
      <c r="F1887" s="144" t="s">
        <v>1566</v>
      </c>
      <c r="G1887" s="191" t="s">
        <v>204</v>
      </c>
      <c r="H1887" s="198" t="s">
        <v>1393</v>
      </c>
      <c r="I1887" s="186">
        <v>4668</v>
      </c>
      <c r="J1887" s="186">
        <v>16000</v>
      </c>
      <c r="K1887" s="185"/>
      <c r="L1887" s="186"/>
      <c r="M1887" s="36">
        <f t="shared" si="69"/>
        <v>74688000</v>
      </c>
      <c r="N1887" s="37" t="s">
        <v>1443</v>
      </c>
      <c r="O1887" s="37" t="s">
        <v>8</v>
      </c>
      <c r="P1887" s="47" t="str">
        <f>IF(AND('331-CT'!$F$5=TH!H1887,OR(N1887="331",O1887="331")),"x","")</f>
        <v>x</v>
      </c>
      <c r="Q1887" s="47" t="str">
        <f>IF(AND(B1887='111'!$L$11,OR($N1887=$Q$7,$O1887=$Q$7)),"x","")</f>
        <v/>
      </c>
      <c r="R1887" s="47" t="str">
        <f>IF(AND($N1887=$Q$7,$B1887&lt;'111'!$L$11),"x","")</f>
        <v/>
      </c>
      <c r="S1887" s="47" t="str">
        <f>IF(AND($O1887=$Q$7,$B1887&lt;'111'!$L$11),"x","")</f>
        <v/>
      </c>
    </row>
    <row r="1888" spans="1:19" ht="15.75" customHeight="1">
      <c r="A1888" s="152" t="str">
        <f>IF(B1888&lt;&gt;"",IF(AND(B1888='IN-TC'!$S$4,OR(TH!N1888="1111",TH!O1888="1111")),TH!D1888,""),"")</f>
        <v/>
      </c>
      <c r="B1888" s="34">
        <f t="shared" si="66"/>
        <v>11</v>
      </c>
      <c r="C1888" s="35">
        <f t="shared" si="67"/>
        <v>42679</v>
      </c>
      <c r="D1888" s="212"/>
      <c r="E1888" s="35">
        <v>42679</v>
      </c>
      <c r="F1888" s="144" t="s">
        <v>1495</v>
      </c>
      <c r="G1888" s="191" t="s">
        <v>204</v>
      </c>
      <c r="H1888" s="198" t="s">
        <v>1393</v>
      </c>
      <c r="I1888" s="186">
        <v>13154</v>
      </c>
      <c r="J1888" s="186">
        <v>10000</v>
      </c>
      <c r="K1888" s="185"/>
      <c r="L1888" s="186"/>
      <c r="M1888" s="36">
        <f t="shared" si="69"/>
        <v>131540000</v>
      </c>
      <c r="N1888" s="37" t="s">
        <v>1443</v>
      </c>
      <c r="O1888" s="37" t="s">
        <v>8</v>
      </c>
      <c r="P1888" s="47" t="str">
        <f>IF(AND('331-CT'!$F$5=TH!H1888,OR(N1888="331",O1888="331")),"x","")</f>
        <v>x</v>
      </c>
      <c r="Q1888" s="47" t="str">
        <f>IF(AND(B1888='111'!$L$11,OR($N1888=$Q$7,$O1888=$Q$7)),"x","")</f>
        <v/>
      </c>
      <c r="R1888" s="47" t="str">
        <f>IF(AND($N1888=$Q$7,$B1888&lt;'111'!$L$11),"x","")</f>
        <v/>
      </c>
      <c r="S1888" s="47" t="str">
        <f>IF(AND($O1888=$Q$7,$B1888&lt;'111'!$L$11),"x","")</f>
        <v/>
      </c>
    </row>
    <row r="1889" spans="1:19" ht="15.75" customHeight="1">
      <c r="A1889" s="152" t="str">
        <f>IF(B1889&lt;&gt;"",IF(AND(B1889='IN-TC'!$S$4,OR(TH!N1889="1111",TH!O1889="1111")),TH!D1889,""),"")</f>
        <v/>
      </c>
      <c r="B1889" s="34">
        <f t="shared" si="66"/>
        <v>11</v>
      </c>
      <c r="C1889" s="35">
        <f t="shared" si="67"/>
        <v>42680</v>
      </c>
      <c r="D1889" s="212"/>
      <c r="E1889" s="35">
        <v>42680</v>
      </c>
      <c r="F1889" s="144" t="s">
        <v>1473</v>
      </c>
      <c r="G1889" s="191" t="s">
        <v>204</v>
      </c>
      <c r="H1889" s="198" t="s">
        <v>821</v>
      </c>
      <c r="I1889" s="186">
        <v>4247</v>
      </c>
      <c r="J1889" s="186">
        <v>23000</v>
      </c>
      <c r="K1889" s="185"/>
      <c r="L1889" s="186"/>
      <c r="M1889" s="36">
        <f t="shared" si="69"/>
        <v>97681000</v>
      </c>
      <c r="N1889" s="37" t="s">
        <v>1443</v>
      </c>
      <c r="O1889" s="37" t="s">
        <v>8</v>
      </c>
      <c r="P1889" s="47" t="str">
        <f>IF(AND('331-CT'!$F$5=TH!H1889,OR(N1889="331",O1889="331")),"x","")</f>
        <v/>
      </c>
      <c r="Q1889" s="47" t="str">
        <f>IF(AND(B1889='111'!$L$11,OR($N1889=$Q$7,$O1889=$Q$7)),"x","")</f>
        <v/>
      </c>
      <c r="R1889" s="47" t="str">
        <f>IF(AND($N1889=$Q$7,$B1889&lt;'111'!$L$11),"x","")</f>
        <v/>
      </c>
      <c r="S1889" s="47" t="str">
        <f>IF(AND($O1889=$Q$7,$B1889&lt;'111'!$L$11),"x","")</f>
        <v/>
      </c>
    </row>
    <row r="1890" spans="1:19" ht="15.75" customHeight="1">
      <c r="A1890" s="152" t="str">
        <f>IF(B1890&lt;&gt;"",IF(AND(B1890='IN-TC'!$S$4,OR(TH!N1890="1111",TH!O1890="1111")),TH!D1890,""),"")</f>
        <v/>
      </c>
      <c r="B1890" s="34">
        <f t="shared" si="66"/>
        <v>10</v>
      </c>
      <c r="C1890" s="35">
        <f t="shared" si="67"/>
        <v>42673</v>
      </c>
      <c r="D1890" s="212"/>
      <c r="E1890" s="35">
        <v>42673</v>
      </c>
      <c r="F1890" s="144" t="s">
        <v>1565</v>
      </c>
      <c r="G1890" s="191" t="s">
        <v>204</v>
      </c>
      <c r="H1890" s="198" t="s">
        <v>825</v>
      </c>
      <c r="I1890" s="186">
        <v>4781</v>
      </c>
      <c r="J1890" s="186">
        <v>32000</v>
      </c>
      <c r="K1890" s="185"/>
      <c r="L1890" s="186"/>
      <c r="M1890" s="36">
        <f t="shared" si="69"/>
        <v>152992000</v>
      </c>
      <c r="N1890" s="37" t="s">
        <v>1443</v>
      </c>
      <c r="O1890" s="37" t="s">
        <v>8</v>
      </c>
      <c r="P1890" s="47" t="str">
        <f>IF(AND('331-CT'!$F$5=TH!H1890,OR(N1890="331",O1890="331")),"x","")</f>
        <v/>
      </c>
      <c r="Q1890" s="47" t="str">
        <f>IF(AND(B1890='111'!$L$11,OR($N1890=$Q$7,$O1890=$Q$7)),"x","")</f>
        <v/>
      </c>
      <c r="R1890" s="47" t="str">
        <f>IF(AND($N1890=$Q$7,$B1890&lt;'111'!$L$11),"x","")</f>
        <v/>
      </c>
      <c r="S1890" s="47" t="str">
        <f>IF(AND($O1890=$Q$7,$B1890&lt;'111'!$L$11),"x","")</f>
        <v/>
      </c>
    </row>
    <row r="1891" spans="1:19" ht="15.75" customHeight="1">
      <c r="A1891" s="152" t="str">
        <f>IF(B1891&lt;&gt;"",IF(AND(B1891='IN-TC'!$S$4,OR(TH!N1891="1111",TH!O1891="1111")),TH!D1891,""),"")</f>
        <v/>
      </c>
      <c r="B1891" s="34">
        <f t="shared" si="66"/>
        <v>10</v>
      </c>
      <c r="C1891" s="35">
        <f t="shared" si="67"/>
        <v>42674</v>
      </c>
      <c r="D1891" s="212"/>
      <c r="E1891" s="35">
        <v>42674</v>
      </c>
      <c r="F1891" s="144" t="s">
        <v>1565</v>
      </c>
      <c r="G1891" s="191" t="s">
        <v>204</v>
      </c>
      <c r="H1891" s="198" t="s">
        <v>825</v>
      </c>
      <c r="I1891" s="186">
        <v>5536</v>
      </c>
      <c r="J1891" s="186">
        <v>32000</v>
      </c>
      <c r="K1891" s="185"/>
      <c r="L1891" s="186"/>
      <c r="M1891" s="36">
        <f t="shared" si="69"/>
        <v>177152000</v>
      </c>
      <c r="N1891" s="37" t="s">
        <v>1443</v>
      </c>
      <c r="O1891" s="37" t="s">
        <v>8</v>
      </c>
      <c r="P1891" s="47" t="str">
        <f>IF(AND('331-CT'!$F$5=TH!H1891,OR(N1891="331",O1891="331")),"x","")</f>
        <v/>
      </c>
      <c r="Q1891" s="47" t="str">
        <f>IF(AND(B1891='111'!$L$11,OR($N1891=$Q$7,$O1891=$Q$7)),"x","")</f>
        <v/>
      </c>
      <c r="R1891" s="47" t="str">
        <f>IF(AND($N1891=$Q$7,$B1891&lt;'111'!$L$11),"x","")</f>
        <v/>
      </c>
      <c r="S1891" s="47" t="str">
        <f>IF(AND($O1891=$Q$7,$B1891&lt;'111'!$L$11),"x","")</f>
        <v/>
      </c>
    </row>
    <row r="1892" spans="1:19" ht="15.75" customHeight="1">
      <c r="A1892" s="152" t="str">
        <f>IF(B1892&lt;&gt;"",IF(AND(B1892='IN-TC'!$S$4,OR(TH!N1892="1111",TH!O1892="1111")),TH!D1892,""),"")</f>
        <v/>
      </c>
      <c r="B1892" s="34">
        <f t="shared" si="66"/>
        <v>10</v>
      </c>
      <c r="C1892" s="35">
        <f t="shared" si="67"/>
        <v>42673</v>
      </c>
      <c r="D1892" s="212"/>
      <c r="E1892" s="35">
        <v>42673</v>
      </c>
      <c r="F1892" s="144" t="s">
        <v>1467</v>
      </c>
      <c r="G1892" s="191"/>
      <c r="H1892" s="198" t="s">
        <v>831</v>
      </c>
      <c r="I1892" s="186">
        <v>1070</v>
      </c>
      <c r="J1892" s="186"/>
      <c r="K1892" s="185"/>
      <c r="L1892" s="186"/>
      <c r="M1892" s="36">
        <f t="shared" si="69"/>
        <v>0</v>
      </c>
      <c r="N1892" s="37" t="s">
        <v>1443</v>
      </c>
      <c r="O1892" s="37" t="s">
        <v>8</v>
      </c>
      <c r="P1892" s="47" t="str">
        <f>IF(AND('331-CT'!$F$5=TH!H1892,OR(N1892="331",O1892="331")),"x","")</f>
        <v/>
      </c>
      <c r="Q1892" s="47" t="str">
        <f>IF(AND(B1892='111'!$L$11,OR($N1892=$Q$7,$O1892=$Q$7)),"x","")</f>
        <v/>
      </c>
      <c r="R1892" s="47" t="str">
        <f>IF(AND($N1892=$Q$7,$B1892&lt;'111'!$L$11),"x","")</f>
        <v/>
      </c>
      <c r="S1892" s="47" t="str">
        <f>IF(AND($O1892=$Q$7,$B1892&lt;'111'!$L$11),"x","")</f>
        <v/>
      </c>
    </row>
    <row r="1893" spans="1:19" ht="15.75" customHeight="1">
      <c r="A1893" s="152" t="str">
        <f>IF(B1893&lt;&gt;"",IF(AND(B1893='IN-TC'!$S$4,OR(TH!N1893="1111",TH!O1893="1111")),TH!D1893,""),"")</f>
        <v/>
      </c>
      <c r="B1893" s="34">
        <f t="shared" si="66"/>
        <v>10</v>
      </c>
      <c r="C1893" s="35">
        <f t="shared" si="67"/>
        <v>42673</v>
      </c>
      <c r="D1893" s="212"/>
      <c r="E1893" s="35">
        <v>42673</v>
      </c>
      <c r="F1893" s="144" t="s">
        <v>1467</v>
      </c>
      <c r="G1893" s="191"/>
      <c r="H1893" s="198" t="s">
        <v>1123</v>
      </c>
      <c r="I1893" s="186">
        <v>1850</v>
      </c>
      <c r="J1893" s="186">
        <v>12000</v>
      </c>
      <c r="K1893" s="185"/>
      <c r="L1893" s="186"/>
      <c r="M1893" s="36">
        <f t="shared" si="69"/>
        <v>22200000</v>
      </c>
      <c r="N1893" s="37" t="s">
        <v>1443</v>
      </c>
      <c r="O1893" s="37" t="s">
        <v>8</v>
      </c>
      <c r="P1893" s="47" t="str">
        <f>IF(AND('331-CT'!$F$5=TH!H1893,OR(N1893="331",O1893="331")),"x","")</f>
        <v/>
      </c>
      <c r="Q1893" s="47" t="str">
        <f>IF(AND(B1893='111'!$L$11,OR($N1893=$Q$7,$O1893=$Q$7)),"x","")</f>
        <v/>
      </c>
      <c r="R1893" s="47" t="str">
        <f>IF(AND($N1893=$Q$7,$B1893&lt;'111'!$L$11),"x","")</f>
        <v/>
      </c>
      <c r="S1893" s="47" t="str">
        <f>IF(AND($O1893=$Q$7,$B1893&lt;'111'!$L$11),"x","")</f>
        <v/>
      </c>
    </row>
    <row r="1894" spans="1:19" ht="15.75" customHeight="1">
      <c r="A1894" s="152" t="str">
        <f>IF(B1894&lt;&gt;"",IF(AND(B1894='IN-TC'!$S$4,OR(TH!N1894="1111",TH!O1894="1111")),TH!D1894,""),"")</f>
        <v/>
      </c>
      <c r="B1894" s="34">
        <f t="shared" si="66"/>
        <v>10</v>
      </c>
      <c r="C1894" s="35">
        <f t="shared" si="67"/>
        <v>42674</v>
      </c>
      <c r="D1894" s="212"/>
      <c r="E1894" s="35">
        <v>42674</v>
      </c>
      <c r="F1894" s="144" t="s">
        <v>1467</v>
      </c>
      <c r="G1894" s="191"/>
      <c r="H1894" s="198" t="s">
        <v>1123</v>
      </c>
      <c r="I1894" s="186">
        <v>1030</v>
      </c>
      <c r="J1894" s="186">
        <v>12000</v>
      </c>
      <c r="K1894" s="185"/>
      <c r="L1894" s="186"/>
      <c r="M1894" s="36">
        <f t="shared" si="69"/>
        <v>12360000</v>
      </c>
      <c r="N1894" s="37" t="s">
        <v>1443</v>
      </c>
      <c r="O1894" s="37" t="s">
        <v>8</v>
      </c>
      <c r="P1894" s="47" t="str">
        <f>IF(AND('331-CT'!$F$5=TH!H1894,OR(N1894="331",O1894="331")),"x","")</f>
        <v/>
      </c>
      <c r="Q1894" s="47" t="str">
        <f>IF(AND(B1894='111'!$L$11,OR($N1894=$Q$7,$O1894=$Q$7)),"x","")</f>
        <v/>
      </c>
      <c r="R1894" s="47" t="str">
        <f>IF(AND($N1894=$Q$7,$B1894&lt;'111'!$L$11),"x","")</f>
        <v/>
      </c>
      <c r="S1894" s="47" t="str">
        <f>IF(AND($O1894=$Q$7,$B1894&lt;'111'!$L$11),"x","")</f>
        <v/>
      </c>
    </row>
    <row r="1895" spans="1:19" ht="15.75" customHeight="1">
      <c r="A1895" s="152" t="str">
        <f>IF(B1895&lt;&gt;"",IF(AND(B1895='IN-TC'!$S$4,OR(TH!N1895="1111",TH!O1895="1111")),TH!D1895,""),"")</f>
        <v/>
      </c>
      <c r="B1895" s="34">
        <f t="shared" si="66"/>
        <v>10</v>
      </c>
      <c r="C1895" s="35">
        <f t="shared" si="67"/>
        <v>42674</v>
      </c>
      <c r="D1895" s="212"/>
      <c r="E1895" s="35">
        <v>42674</v>
      </c>
      <c r="F1895" s="144" t="s">
        <v>1467</v>
      </c>
      <c r="G1895" s="191"/>
      <c r="H1895" s="198" t="s">
        <v>831</v>
      </c>
      <c r="I1895" s="186">
        <v>1010</v>
      </c>
      <c r="J1895" s="186"/>
      <c r="K1895" s="185"/>
      <c r="L1895" s="186"/>
      <c r="M1895" s="36">
        <f t="shared" si="69"/>
        <v>0</v>
      </c>
      <c r="N1895" s="37" t="s">
        <v>1443</v>
      </c>
      <c r="O1895" s="37" t="s">
        <v>8</v>
      </c>
      <c r="P1895" s="47" t="str">
        <f>IF(AND('331-CT'!$F$5=TH!H1895,OR(N1895="331",O1895="331")),"x","")</f>
        <v/>
      </c>
      <c r="Q1895" s="47" t="str">
        <f>IF(AND(B1895='111'!$L$11,OR($N1895=$Q$7,$O1895=$Q$7)),"x","")</f>
        <v/>
      </c>
      <c r="R1895" s="47" t="str">
        <f>IF(AND($N1895=$Q$7,$B1895&lt;'111'!$L$11),"x","")</f>
        <v/>
      </c>
      <c r="S1895" s="47" t="str">
        <f>IF(AND($O1895=$Q$7,$B1895&lt;'111'!$L$11),"x","")</f>
        <v/>
      </c>
    </row>
    <row r="1896" spans="1:19" ht="15.75" customHeight="1">
      <c r="A1896" s="152" t="str">
        <f>IF(B1896&lt;&gt;"",IF(AND(B1896='IN-TC'!$S$4,OR(TH!N1896="1111",TH!O1896="1111")),TH!D1896,""),"")</f>
        <v/>
      </c>
      <c r="B1896" s="34">
        <f t="shared" si="66"/>
        <v>11</v>
      </c>
      <c r="C1896" s="35">
        <f t="shared" si="67"/>
        <v>42678</v>
      </c>
      <c r="D1896" s="212"/>
      <c r="E1896" s="35">
        <v>42678</v>
      </c>
      <c r="F1896" s="144" t="s">
        <v>1467</v>
      </c>
      <c r="G1896" s="191"/>
      <c r="H1896" s="198" t="s">
        <v>831</v>
      </c>
      <c r="I1896" s="186">
        <v>1390</v>
      </c>
      <c r="J1896" s="186"/>
      <c r="K1896" s="185"/>
      <c r="L1896" s="186"/>
      <c r="M1896" s="36">
        <f t="shared" si="69"/>
        <v>0</v>
      </c>
      <c r="N1896" s="37" t="s">
        <v>1443</v>
      </c>
      <c r="O1896" s="37" t="s">
        <v>8</v>
      </c>
      <c r="P1896" s="47" t="str">
        <f>IF(AND('331-CT'!$F$5=TH!H1896,OR(N1896="331",O1896="331")),"x","")</f>
        <v/>
      </c>
      <c r="Q1896" s="47" t="str">
        <f>IF(AND(B1896='111'!$L$11,OR($N1896=$Q$7,$O1896=$Q$7)),"x","")</f>
        <v/>
      </c>
      <c r="R1896" s="47" t="str">
        <f>IF(AND($N1896=$Q$7,$B1896&lt;'111'!$L$11),"x","")</f>
        <v/>
      </c>
      <c r="S1896" s="47" t="str">
        <f>IF(AND($O1896=$Q$7,$B1896&lt;'111'!$L$11),"x","")</f>
        <v/>
      </c>
    </row>
    <row r="1897" spans="1:19" ht="15.75" customHeight="1">
      <c r="A1897" s="152" t="str">
        <f>IF(B1897&lt;&gt;"",IF(AND(B1897='IN-TC'!$S$4,OR(TH!N1897="1111",TH!O1897="1111")),TH!D1897,""),"")</f>
        <v/>
      </c>
      <c r="B1897" s="34">
        <f t="shared" si="66"/>
        <v>11</v>
      </c>
      <c r="C1897" s="35">
        <f t="shared" si="67"/>
        <v>42675</v>
      </c>
      <c r="D1897" s="212"/>
      <c r="E1897" s="35">
        <v>42675</v>
      </c>
      <c r="F1897" s="144" t="s">
        <v>1571</v>
      </c>
      <c r="G1897" s="191"/>
      <c r="H1897" s="198" t="s">
        <v>1570</v>
      </c>
      <c r="I1897" s="186">
        <v>2650</v>
      </c>
      <c r="J1897" s="186">
        <f>7.9*22300</f>
        <v>176170</v>
      </c>
      <c r="K1897" s="185"/>
      <c r="L1897" s="186"/>
      <c r="M1897" s="36">
        <f t="shared" si="69"/>
        <v>466851000</v>
      </c>
      <c r="N1897" s="37" t="s">
        <v>1443</v>
      </c>
      <c r="O1897" s="37" t="s">
        <v>8</v>
      </c>
      <c r="P1897" s="47" t="str">
        <f>IF(AND('331-CT'!$F$5=TH!H1897,OR(N1897="331",O1897="331")),"x","")</f>
        <v/>
      </c>
      <c r="Q1897" s="47" t="str">
        <f>IF(AND(B1897='111'!$L$11,OR($N1897=$Q$7,$O1897=$Q$7)),"x","")</f>
        <v/>
      </c>
      <c r="R1897" s="47" t="str">
        <f>IF(AND($N1897=$Q$7,$B1897&lt;'111'!$L$11),"x","")</f>
        <v/>
      </c>
      <c r="S1897" s="47" t="str">
        <f>IF(AND($O1897=$Q$7,$B1897&lt;'111'!$L$11),"x","")</f>
        <v/>
      </c>
    </row>
    <row r="1898" spans="1:19" ht="15.75" customHeight="1">
      <c r="A1898" s="152" t="str">
        <f>IF(B1898&lt;&gt;"",IF(AND(B1898='IN-TC'!$S$4,OR(TH!N1898="1111",TH!O1898="1111")),TH!D1898,""),"")</f>
        <v/>
      </c>
      <c r="B1898" s="34">
        <f t="shared" si="66"/>
        <v>11</v>
      </c>
      <c r="C1898" s="35">
        <f t="shared" si="67"/>
        <v>42675</v>
      </c>
      <c r="D1898" s="212"/>
      <c r="E1898" s="35">
        <v>42675</v>
      </c>
      <c r="F1898" s="144" t="s">
        <v>1572</v>
      </c>
      <c r="G1898" s="191"/>
      <c r="H1898" s="198" t="s">
        <v>1570</v>
      </c>
      <c r="I1898" s="186">
        <v>350</v>
      </c>
      <c r="J1898" s="186">
        <f t="shared" ref="J1898:J1900" si="70">7.9*22300</f>
        <v>176170</v>
      </c>
      <c r="K1898" s="185"/>
      <c r="L1898" s="186"/>
      <c r="M1898" s="36">
        <f t="shared" si="69"/>
        <v>61660000</v>
      </c>
      <c r="N1898" s="37" t="s">
        <v>1443</v>
      </c>
      <c r="O1898" s="37" t="s">
        <v>8</v>
      </c>
      <c r="P1898" s="47" t="str">
        <f>IF(AND('331-CT'!$F$5=TH!H1898,OR(N1898="331",O1898="331")),"x","")</f>
        <v/>
      </c>
      <c r="Q1898" s="47" t="str">
        <f>IF(AND(B1898='111'!$L$11,OR($N1898=$Q$7,$O1898=$Q$7)),"x","")</f>
        <v/>
      </c>
      <c r="R1898" s="47" t="str">
        <f>IF(AND($N1898=$Q$7,$B1898&lt;'111'!$L$11),"x","")</f>
        <v/>
      </c>
      <c r="S1898" s="47" t="str">
        <f>IF(AND($O1898=$Q$7,$B1898&lt;'111'!$L$11),"x","")</f>
        <v/>
      </c>
    </row>
    <row r="1899" spans="1:19" ht="15.75" customHeight="1">
      <c r="A1899" s="152" t="str">
        <f>IF(B1899&lt;&gt;"",IF(AND(B1899='IN-TC'!$S$4,OR(TH!N1899="1111",TH!O1899="1111")),TH!D1899,""),"")</f>
        <v/>
      </c>
      <c r="B1899" s="34">
        <f t="shared" si="66"/>
        <v>11</v>
      </c>
      <c r="C1899" s="35">
        <f t="shared" si="67"/>
        <v>42680</v>
      </c>
      <c r="D1899" s="212"/>
      <c r="E1899" s="35">
        <v>42680</v>
      </c>
      <c r="F1899" s="144" t="s">
        <v>1571</v>
      </c>
      <c r="G1899" s="191"/>
      <c r="H1899" s="198" t="s">
        <v>1570</v>
      </c>
      <c r="I1899" s="186">
        <v>660</v>
      </c>
      <c r="J1899" s="186">
        <f t="shared" si="70"/>
        <v>176170</v>
      </c>
      <c r="K1899" s="185"/>
      <c r="L1899" s="186"/>
      <c r="M1899" s="36">
        <f t="shared" si="69"/>
        <v>116272000</v>
      </c>
      <c r="N1899" s="37" t="s">
        <v>1443</v>
      </c>
      <c r="O1899" s="37" t="s">
        <v>8</v>
      </c>
      <c r="P1899" s="47" t="str">
        <f>IF(AND('331-CT'!$F$5=TH!H1899,OR(N1899="331",O1899="331")),"x","")</f>
        <v/>
      </c>
      <c r="Q1899" s="47" t="str">
        <f>IF(AND(B1899='111'!$L$11,OR($N1899=$Q$7,$O1899=$Q$7)),"x","")</f>
        <v/>
      </c>
      <c r="R1899" s="47" t="str">
        <f>IF(AND($N1899=$Q$7,$B1899&lt;'111'!$L$11),"x","")</f>
        <v/>
      </c>
      <c r="S1899" s="47" t="str">
        <f>IF(AND($O1899=$Q$7,$B1899&lt;'111'!$L$11),"x","")</f>
        <v/>
      </c>
    </row>
    <row r="1900" spans="1:19" ht="15.75" customHeight="1">
      <c r="A1900" s="152" t="str">
        <f>IF(B1900&lt;&gt;"",IF(AND(B1900='IN-TC'!$S$4,OR(TH!N1900="1111",TH!O1900="1111")),TH!D1900,""),"")</f>
        <v/>
      </c>
      <c r="B1900" s="34">
        <f t="shared" si="66"/>
        <v>11</v>
      </c>
      <c r="C1900" s="35">
        <f t="shared" si="67"/>
        <v>42680</v>
      </c>
      <c r="D1900" s="212"/>
      <c r="E1900" s="35">
        <v>42680</v>
      </c>
      <c r="F1900" s="144" t="s">
        <v>1572</v>
      </c>
      <c r="G1900" s="191"/>
      <c r="H1900" s="198" t="s">
        <v>1570</v>
      </c>
      <c r="I1900" s="186">
        <v>1840</v>
      </c>
      <c r="J1900" s="186">
        <f t="shared" si="70"/>
        <v>176170</v>
      </c>
      <c r="K1900" s="185"/>
      <c r="L1900" s="186"/>
      <c r="M1900" s="36">
        <f t="shared" si="69"/>
        <v>324153000</v>
      </c>
      <c r="N1900" s="37" t="s">
        <v>1443</v>
      </c>
      <c r="O1900" s="37" t="s">
        <v>8</v>
      </c>
      <c r="P1900" s="47" t="str">
        <f>IF(AND('331-CT'!$F$5=TH!H1900,OR(N1900="331",O1900="331")),"x","")</f>
        <v/>
      </c>
      <c r="Q1900" s="47" t="str">
        <f>IF(AND(B1900='111'!$L$11,OR($N1900=$Q$7,$O1900=$Q$7)),"x","")</f>
        <v/>
      </c>
      <c r="R1900" s="47" t="str">
        <f>IF(AND($N1900=$Q$7,$B1900&lt;'111'!$L$11),"x","")</f>
        <v/>
      </c>
      <c r="S1900" s="47" t="str">
        <f>IF(AND($O1900=$Q$7,$B1900&lt;'111'!$L$11),"x","")</f>
        <v/>
      </c>
    </row>
    <row r="1901" spans="1:19" ht="15.75" customHeight="1">
      <c r="A1901" s="152" t="str">
        <f>IF(B1901&lt;&gt;"",IF(AND(B1901='IN-TC'!$S$4,OR(TH!N1901="1111",TH!O1901="1111")),TH!D1901,""),"")</f>
        <v>C141</v>
      </c>
      <c r="B1901" s="34">
        <f t="shared" si="66"/>
        <v>10</v>
      </c>
      <c r="C1901" s="35">
        <f t="shared" si="67"/>
        <v>42671</v>
      </c>
      <c r="D1901" s="212" t="s">
        <v>1010</v>
      </c>
      <c r="E1901" s="35">
        <v>42671</v>
      </c>
      <c r="F1901" s="144" t="s">
        <v>671</v>
      </c>
      <c r="G1901" s="191" t="s">
        <v>207</v>
      </c>
      <c r="H1901" s="198"/>
      <c r="I1901" s="186"/>
      <c r="J1901" s="186"/>
      <c r="K1901" s="185"/>
      <c r="L1901" s="186"/>
      <c r="M1901" s="36">
        <v>500000</v>
      </c>
      <c r="N1901" s="37"/>
      <c r="O1901" s="37" t="s">
        <v>34</v>
      </c>
      <c r="P1901" s="47" t="str">
        <f>IF(AND('331-CT'!$F$5=TH!H1901,OR(N1901="331",O1901="331")),"x","")</f>
        <v/>
      </c>
      <c r="Q1901" s="47" t="str">
        <f>IF(AND(B1901='111'!$L$11,OR($N1901=$Q$7,$O1901=$Q$7)),"x","")</f>
        <v/>
      </c>
      <c r="R1901" s="47" t="str">
        <f>IF(AND($N1901=$Q$7,$B1901&lt;'111'!$L$11),"x","")</f>
        <v/>
      </c>
      <c r="S1901" s="47" t="str">
        <f>IF(AND($O1901=$Q$7,$B1901&lt;'111'!$L$11),"x","")</f>
        <v>x</v>
      </c>
    </row>
    <row r="1902" spans="1:19" ht="15.75" customHeight="1">
      <c r="A1902" s="152" t="str">
        <f>IF(B1902&lt;&gt;"",IF(AND(B1902='IN-TC'!$S$4,OR(TH!N1902="1111",TH!O1902="1111")),TH!D1902,""),"")</f>
        <v>C142</v>
      </c>
      <c r="B1902" s="34">
        <f t="shared" si="66"/>
        <v>10</v>
      </c>
      <c r="C1902" s="35">
        <f t="shared" si="67"/>
        <v>42671</v>
      </c>
      <c r="D1902" s="212" t="s">
        <v>1011</v>
      </c>
      <c r="E1902" s="35">
        <v>42671</v>
      </c>
      <c r="F1902" s="144" t="s">
        <v>850</v>
      </c>
      <c r="G1902" s="191" t="s">
        <v>206</v>
      </c>
      <c r="H1902" s="198" t="s">
        <v>828</v>
      </c>
      <c r="I1902" s="186"/>
      <c r="J1902" s="186"/>
      <c r="K1902" s="185"/>
      <c r="L1902" s="186"/>
      <c r="M1902" s="36">
        <v>82258000</v>
      </c>
      <c r="N1902" s="37" t="s">
        <v>8</v>
      </c>
      <c r="O1902" s="37" t="s">
        <v>34</v>
      </c>
      <c r="P1902" s="47" t="str">
        <f>IF(AND('331-CT'!$F$5=TH!H1902,OR(N1902="331",O1902="331")),"x","")</f>
        <v/>
      </c>
      <c r="Q1902" s="47" t="str">
        <f>IF(AND(B1902='111'!$L$11,OR($N1902=$Q$7,$O1902=$Q$7)),"x","")</f>
        <v/>
      </c>
      <c r="R1902" s="47" t="str">
        <f>IF(AND($N1902=$Q$7,$B1902&lt;'111'!$L$11),"x","")</f>
        <v/>
      </c>
      <c r="S1902" s="47" t="str">
        <f>IF(AND($O1902=$Q$7,$B1902&lt;'111'!$L$11),"x","")</f>
        <v>x</v>
      </c>
    </row>
    <row r="1903" spans="1:19" ht="15.75" customHeight="1">
      <c r="A1903" s="152" t="str">
        <f>IF(B1903&lt;&gt;"",IF(AND(B1903='IN-TC'!$S$4,OR(TH!N1903="1111",TH!O1903="1111")),TH!D1903,""),"")</f>
        <v>C143</v>
      </c>
      <c r="B1903" s="34">
        <f t="shared" si="66"/>
        <v>10</v>
      </c>
      <c r="C1903" s="35">
        <f t="shared" si="67"/>
        <v>42671</v>
      </c>
      <c r="D1903" s="212" t="s">
        <v>1573</v>
      </c>
      <c r="E1903" s="35">
        <v>42671</v>
      </c>
      <c r="F1903" s="144" t="s">
        <v>1190</v>
      </c>
      <c r="G1903" s="191"/>
      <c r="H1903" s="198"/>
      <c r="I1903" s="186"/>
      <c r="J1903" s="186"/>
      <c r="K1903" s="185"/>
      <c r="L1903" s="186"/>
      <c r="M1903" s="36">
        <v>6000000</v>
      </c>
      <c r="N1903" s="37"/>
      <c r="O1903" s="37" t="s">
        <v>34</v>
      </c>
      <c r="P1903" s="47" t="str">
        <f>IF(AND('331-CT'!$F$5=TH!H1903,OR(N1903="331",O1903="331")),"x","")</f>
        <v/>
      </c>
      <c r="Q1903" s="47" t="str">
        <f>IF(AND(B1903='111'!$L$11,OR($N1903=$Q$7,$O1903=$Q$7)),"x","")</f>
        <v/>
      </c>
      <c r="R1903" s="47" t="str">
        <f>IF(AND($N1903=$Q$7,$B1903&lt;'111'!$L$11),"x","")</f>
        <v/>
      </c>
      <c r="S1903" s="47" t="str">
        <f>IF(AND($O1903=$Q$7,$B1903&lt;'111'!$L$11),"x","")</f>
        <v>x</v>
      </c>
    </row>
    <row r="1904" spans="1:19" ht="15.75" customHeight="1">
      <c r="A1904" s="152" t="str">
        <f>IF(B1904&lt;&gt;"",IF(AND(B1904='IN-TC'!$S$4,OR(TH!N1904="1111",TH!O1904="1111")),TH!D1904,""),"")</f>
        <v>C144</v>
      </c>
      <c r="B1904" s="34">
        <f t="shared" si="66"/>
        <v>10</v>
      </c>
      <c r="C1904" s="35">
        <f t="shared" si="67"/>
        <v>42671</v>
      </c>
      <c r="D1904" s="212" t="s">
        <v>1574</v>
      </c>
      <c r="E1904" s="35">
        <v>42671</v>
      </c>
      <c r="F1904" s="144" t="s">
        <v>1578</v>
      </c>
      <c r="G1904" s="191"/>
      <c r="H1904" s="198"/>
      <c r="I1904" s="186"/>
      <c r="J1904" s="186"/>
      <c r="K1904" s="185"/>
      <c r="L1904" s="186"/>
      <c r="M1904" s="36">
        <v>2000000</v>
      </c>
      <c r="N1904" s="37"/>
      <c r="O1904" s="37" t="s">
        <v>34</v>
      </c>
      <c r="P1904" s="47" t="str">
        <f>IF(AND('331-CT'!$F$5=TH!H1904,OR(N1904="331",O1904="331")),"x","")</f>
        <v/>
      </c>
      <c r="Q1904" s="47" t="str">
        <f>IF(AND(B1904='111'!$L$11,OR($N1904=$Q$7,$O1904=$Q$7)),"x","")</f>
        <v/>
      </c>
      <c r="R1904" s="47" t="str">
        <f>IF(AND($N1904=$Q$7,$B1904&lt;'111'!$L$11),"x","")</f>
        <v/>
      </c>
      <c r="S1904" s="47" t="str">
        <f>IF(AND($O1904=$Q$7,$B1904&lt;'111'!$L$11),"x","")</f>
        <v>x</v>
      </c>
    </row>
    <row r="1905" spans="1:19" ht="15.75" customHeight="1">
      <c r="A1905" s="152" t="str">
        <f>IF(B1905&lt;&gt;"",IF(AND(B1905='IN-TC'!$S$4,OR(TH!N1905="1111",TH!O1905="1111")),TH!D1905,""),"")</f>
        <v>C145</v>
      </c>
      <c r="B1905" s="34">
        <f t="shared" si="66"/>
        <v>10</v>
      </c>
      <c r="C1905" s="35">
        <f t="shared" si="67"/>
        <v>42674</v>
      </c>
      <c r="D1905" s="212" t="s">
        <v>1575</v>
      </c>
      <c r="E1905" s="35">
        <v>42674</v>
      </c>
      <c r="F1905" s="144" t="s">
        <v>1579</v>
      </c>
      <c r="G1905" s="191"/>
      <c r="H1905" s="198"/>
      <c r="I1905" s="186"/>
      <c r="J1905" s="186"/>
      <c r="K1905" s="185"/>
      <c r="L1905" s="186"/>
      <c r="M1905" s="36">
        <v>10000000</v>
      </c>
      <c r="N1905" s="37"/>
      <c r="O1905" s="37" t="s">
        <v>34</v>
      </c>
      <c r="P1905" s="47" t="str">
        <f>IF(AND('331-CT'!$F$5=TH!H1905,OR(N1905="331",O1905="331")),"x","")</f>
        <v/>
      </c>
      <c r="Q1905" s="47" t="str">
        <f>IF(AND(B1905='111'!$L$11,OR($N1905=$Q$7,$O1905=$Q$7)),"x","")</f>
        <v/>
      </c>
      <c r="R1905" s="47" t="str">
        <f>IF(AND($N1905=$Q$7,$B1905&lt;'111'!$L$11),"x","")</f>
        <v/>
      </c>
      <c r="S1905" s="47" t="str">
        <f>IF(AND($O1905=$Q$7,$B1905&lt;'111'!$L$11),"x","")</f>
        <v>x</v>
      </c>
    </row>
    <row r="1906" spans="1:19" ht="15.75" customHeight="1">
      <c r="A1906" s="152" t="str">
        <f>IF(B1906&lt;&gt;"",IF(AND(B1906='IN-TC'!$S$4,OR(TH!N1906="1111",TH!O1906="1111")),TH!D1906,""),"")</f>
        <v>C146</v>
      </c>
      <c r="B1906" s="34">
        <f t="shared" si="66"/>
        <v>10</v>
      </c>
      <c r="C1906" s="35">
        <f t="shared" si="67"/>
        <v>42674</v>
      </c>
      <c r="D1906" s="212" t="s">
        <v>1576</v>
      </c>
      <c r="E1906" s="35">
        <v>42674</v>
      </c>
      <c r="F1906" s="144" t="s">
        <v>671</v>
      </c>
      <c r="G1906" s="191" t="s">
        <v>207</v>
      </c>
      <c r="H1906" s="198"/>
      <c r="I1906" s="186"/>
      <c r="J1906" s="186"/>
      <c r="K1906" s="185"/>
      <c r="L1906" s="186"/>
      <c r="M1906" s="36">
        <v>1300000</v>
      </c>
      <c r="N1906" s="37"/>
      <c r="O1906" s="37" t="s">
        <v>34</v>
      </c>
      <c r="P1906" s="47" t="str">
        <f>IF(AND('331-CT'!$F$5=TH!H1906,OR(N1906="331",O1906="331")),"x","")</f>
        <v/>
      </c>
      <c r="Q1906" s="47" t="str">
        <f>IF(AND(B1906='111'!$L$11,OR($N1906=$Q$7,$O1906=$Q$7)),"x","")</f>
        <v/>
      </c>
      <c r="R1906" s="47" t="str">
        <f>IF(AND($N1906=$Q$7,$B1906&lt;'111'!$L$11),"x","")</f>
        <v/>
      </c>
      <c r="S1906" s="47" t="str">
        <f>IF(AND($O1906=$Q$7,$B1906&lt;'111'!$L$11),"x","")</f>
        <v>x</v>
      </c>
    </row>
    <row r="1907" spans="1:19" ht="15.75" customHeight="1">
      <c r="A1907" s="152" t="str">
        <f>IF(B1907&lt;&gt;"",IF(AND(B1907='IN-TC'!$S$4,OR(TH!N1907="1111",TH!O1907="1111")),TH!D1907,""),"")</f>
        <v>C147</v>
      </c>
      <c r="B1907" s="34">
        <f t="shared" si="66"/>
        <v>10</v>
      </c>
      <c r="C1907" s="35">
        <f t="shared" si="67"/>
        <v>42674</v>
      </c>
      <c r="D1907" s="212" t="s">
        <v>1577</v>
      </c>
      <c r="E1907" s="35">
        <v>42674</v>
      </c>
      <c r="F1907" s="144" t="s">
        <v>1580</v>
      </c>
      <c r="G1907" s="191" t="s">
        <v>203</v>
      </c>
      <c r="H1907" s="198" t="s">
        <v>1416</v>
      </c>
      <c r="I1907" s="186"/>
      <c r="J1907" s="186"/>
      <c r="K1907" s="185"/>
      <c r="L1907" s="186"/>
      <c r="M1907" s="36">
        <v>2011000</v>
      </c>
      <c r="N1907" s="37"/>
      <c r="O1907" s="37" t="s">
        <v>34</v>
      </c>
      <c r="P1907" s="47" t="str">
        <f>IF(AND('331-CT'!$F$5=TH!H1907,OR(N1907="331",O1907="331")),"x","")</f>
        <v/>
      </c>
      <c r="Q1907" s="47" t="str">
        <f>IF(AND(B1907='111'!$L$11,OR($N1907=$Q$7,$O1907=$Q$7)),"x","")</f>
        <v/>
      </c>
      <c r="R1907" s="47" t="str">
        <f>IF(AND($N1907=$Q$7,$B1907&lt;'111'!$L$11),"x","")</f>
        <v/>
      </c>
      <c r="S1907" s="47" t="str">
        <f>IF(AND($O1907=$Q$7,$B1907&lt;'111'!$L$11),"x","")</f>
        <v>x</v>
      </c>
    </row>
    <row r="1908" spans="1:19" ht="15.75" customHeight="1">
      <c r="A1908" s="152" t="str">
        <f>IF(B1908&lt;&gt;"",IF(AND(B1908='IN-TC'!$S$4,OR(TH!N1908="1111",TH!O1908="1111")),TH!D1908,""),"")</f>
        <v/>
      </c>
      <c r="B1908" s="34">
        <f t="shared" si="66"/>
        <v>11</v>
      </c>
      <c r="C1908" s="35">
        <f t="shared" si="67"/>
        <v>42675</v>
      </c>
      <c r="D1908" s="212" t="s">
        <v>934</v>
      </c>
      <c r="E1908" s="35">
        <v>42675</v>
      </c>
      <c r="F1908" s="144" t="s">
        <v>1581</v>
      </c>
      <c r="G1908" s="191"/>
      <c r="H1908" s="198"/>
      <c r="I1908" s="186"/>
      <c r="J1908" s="186"/>
      <c r="K1908" s="185"/>
      <c r="L1908" s="186"/>
      <c r="M1908" s="36">
        <v>800000000</v>
      </c>
      <c r="N1908" s="37" t="s">
        <v>34</v>
      </c>
      <c r="O1908" s="37"/>
      <c r="P1908" s="47" t="str">
        <f>IF(AND('331-CT'!$F$5=TH!H1908,OR(N1908="331",O1908="331")),"x","")</f>
        <v/>
      </c>
      <c r="Q1908" s="47" t="str">
        <f>IF(AND(B1908='111'!$L$11,OR($N1908=$Q$7,$O1908=$Q$7)),"x","")</f>
        <v>x</v>
      </c>
      <c r="R1908" s="47" t="str">
        <f>IF(AND($N1908=$Q$7,$B1908&lt;'111'!$L$11),"x","")</f>
        <v/>
      </c>
      <c r="S1908" s="47" t="str">
        <f>IF(AND($O1908=$Q$7,$B1908&lt;'111'!$L$11),"x","")</f>
        <v/>
      </c>
    </row>
    <row r="1909" spans="1:19" ht="15.75" customHeight="1">
      <c r="A1909" s="152" t="str">
        <f>IF(B1909&lt;&gt;"",IF(AND(B1909='IN-TC'!$S$4,OR(TH!N1909="1111",TH!O1909="1111")),TH!D1909,""),"")</f>
        <v/>
      </c>
      <c r="B1909" s="34">
        <f t="shared" si="66"/>
        <v>11</v>
      </c>
      <c r="C1909" s="35">
        <f t="shared" si="67"/>
        <v>42675</v>
      </c>
      <c r="D1909" s="212" t="s">
        <v>860</v>
      </c>
      <c r="E1909" s="35">
        <v>42675</v>
      </c>
      <c r="F1909" s="144" t="s">
        <v>850</v>
      </c>
      <c r="G1909" s="191"/>
      <c r="H1909" s="198" t="s">
        <v>839</v>
      </c>
      <c r="I1909" s="186"/>
      <c r="J1909" s="186"/>
      <c r="K1909" s="185"/>
      <c r="L1909" s="186"/>
      <c r="M1909" s="36">
        <v>222926000</v>
      </c>
      <c r="N1909" s="37" t="s">
        <v>8</v>
      </c>
      <c r="O1909" s="37" t="s">
        <v>34</v>
      </c>
      <c r="P1909" s="47" t="str">
        <f>IF(AND('331-CT'!$F$5=TH!H1909,OR(N1909="331",O1909="331")),"x","")</f>
        <v/>
      </c>
      <c r="Q1909" s="47" t="str">
        <f>IF(AND(B1909='111'!$L$11,OR($N1909=$Q$7,$O1909=$Q$7)),"x","")</f>
        <v>x</v>
      </c>
      <c r="R1909" s="47" t="str">
        <f>IF(AND($N1909=$Q$7,$B1909&lt;'111'!$L$11),"x","")</f>
        <v/>
      </c>
      <c r="S1909" s="47" t="str">
        <f>IF(AND($O1909=$Q$7,$B1909&lt;'111'!$L$11),"x","")</f>
        <v/>
      </c>
    </row>
    <row r="1910" spans="1:19" ht="15.75" customHeight="1">
      <c r="A1910" s="152" t="str">
        <f>IF(B1910&lt;&gt;"",IF(AND(B1910='IN-TC'!$S$4,OR(TH!N1910="1111",TH!O1910="1111")),TH!D1910,""),"")</f>
        <v/>
      </c>
      <c r="B1910" s="34">
        <f t="shared" si="66"/>
        <v>11</v>
      </c>
      <c r="C1910" s="35">
        <f t="shared" si="67"/>
        <v>42675</v>
      </c>
      <c r="D1910" s="212" t="s">
        <v>861</v>
      </c>
      <c r="E1910" s="35">
        <v>42675</v>
      </c>
      <c r="F1910" s="144" t="s">
        <v>850</v>
      </c>
      <c r="G1910" s="191"/>
      <c r="H1910" s="198" t="s">
        <v>849</v>
      </c>
      <c r="I1910" s="186"/>
      <c r="J1910" s="186"/>
      <c r="K1910" s="185"/>
      <c r="L1910" s="186"/>
      <c r="M1910" s="36">
        <v>200000000</v>
      </c>
      <c r="N1910" s="37" t="s">
        <v>8</v>
      </c>
      <c r="O1910" s="37" t="s">
        <v>34</v>
      </c>
      <c r="P1910" s="47" t="str">
        <f>IF(AND('331-CT'!$F$5=TH!H1910,OR(N1910="331",O1910="331")),"x","")</f>
        <v/>
      </c>
      <c r="Q1910" s="47" t="str">
        <f>IF(AND(B1910='111'!$L$11,OR($N1910=$Q$7,$O1910=$Q$7)),"x","")</f>
        <v>x</v>
      </c>
      <c r="R1910" s="47" t="str">
        <f>IF(AND($N1910=$Q$7,$B1910&lt;'111'!$L$11),"x","")</f>
        <v/>
      </c>
      <c r="S1910" s="47" t="str">
        <f>IF(AND($O1910=$Q$7,$B1910&lt;'111'!$L$11),"x","")</f>
        <v/>
      </c>
    </row>
    <row r="1911" spans="1:19" ht="15.75" customHeight="1">
      <c r="A1911" s="152" t="str">
        <f>IF(B1911&lt;&gt;"",IF(AND(B1911='IN-TC'!$S$4,OR(TH!N1911="1111",TH!O1911="1111")),TH!D1911,""),"")</f>
        <v/>
      </c>
      <c r="B1911" s="34">
        <f t="shared" si="66"/>
        <v>11</v>
      </c>
      <c r="C1911" s="35">
        <f t="shared" si="67"/>
        <v>42675</v>
      </c>
      <c r="D1911" s="212" t="s">
        <v>862</v>
      </c>
      <c r="E1911" s="35">
        <v>42675</v>
      </c>
      <c r="F1911" s="144" t="s">
        <v>850</v>
      </c>
      <c r="G1911" s="191"/>
      <c r="H1911" s="198" t="s">
        <v>820</v>
      </c>
      <c r="I1911" s="186"/>
      <c r="J1911" s="186"/>
      <c r="K1911" s="185"/>
      <c r="L1911" s="186"/>
      <c r="M1911" s="36">
        <v>200000000</v>
      </c>
      <c r="N1911" s="37" t="s">
        <v>8</v>
      </c>
      <c r="O1911" s="37" t="s">
        <v>34</v>
      </c>
      <c r="P1911" s="47" t="str">
        <f>IF(AND('331-CT'!$F$5=TH!H1911,OR(N1911="331",O1911="331")),"x","")</f>
        <v/>
      </c>
      <c r="Q1911" s="47" t="str">
        <f>IF(AND(B1911='111'!$L$11,OR($N1911=$Q$7,$O1911=$Q$7)),"x","")</f>
        <v>x</v>
      </c>
      <c r="R1911" s="47" t="str">
        <f>IF(AND($N1911=$Q$7,$B1911&lt;'111'!$L$11),"x","")</f>
        <v/>
      </c>
      <c r="S1911" s="47" t="str">
        <f>IF(AND($O1911=$Q$7,$B1911&lt;'111'!$L$11),"x","")</f>
        <v/>
      </c>
    </row>
    <row r="1912" spans="1:19" ht="15.75" customHeight="1">
      <c r="A1912" s="152" t="str">
        <f>IF(B1912&lt;&gt;"",IF(AND(B1912='IN-TC'!$S$4,OR(TH!N1912="1111",TH!O1912="1111")),TH!D1912,""),"")</f>
        <v/>
      </c>
      <c r="B1912" s="34">
        <f t="shared" si="66"/>
        <v>11</v>
      </c>
      <c r="C1912" s="35">
        <f t="shared" si="67"/>
        <v>42675</v>
      </c>
      <c r="D1912" s="212" t="s">
        <v>862</v>
      </c>
      <c r="E1912" s="35">
        <v>42675</v>
      </c>
      <c r="F1912" s="144" t="s">
        <v>1424</v>
      </c>
      <c r="G1912" s="191"/>
      <c r="H1912" s="198"/>
      <c r="I1912" s="186"/>
      <c r="J1912" s="186"/>
      <c r="K1912" s="185"/>
      <c r="L1912" s="186"/>
      <c r="M1912" s="36">
        <v>66000</v>
      </c>
      <c r="N1912" s="37"/>
      <c r="O1912" s="37" t="s">
        <v>34</v>
      </c>
      <c r="P1912" s="47" t="str">
        <f>IF(AND('331-CT'!$F$5=TH!H1912,OR(N1912="331",O1912="331")),"x","")</f>
        <v/>
      </c>
      <c r="Q1912" s="47" t="str">
        <f>IF(AND(B1912='111'!$L$11,OR($N1912=$Q$7,$O1912=$Q$7)),"x","")</f>
        <v>x</v>
      </c>
      <c r="R1912" s="47" t="str">
        <f>IF(AND($N1912=$Q$7,$B1912&lt;'111'!$L$11),"x","")</f>
        <v/>
      </c>
      <c r="S1912" s="47" t="str">
        <f>IF(AND($O1912=$Q$7,$B1912&lt;'111'!$L$11),"x","")</f>
        <v/>
      </c>
    </row>
    <row r="1913" spans="1:19" ht="15.75" customHeight="1">
      <c r="A1913" s="152" t="str">
        <f>IF(B1913&lt;&gt;"",IF(AND(B1913='IN-TC'!$S$4,OR(TH!N1913="1111",TH!O1913="1111")),TH!D1913,""),"")</f>
        <v/>
      </c>
      <c r="B1913" s="34">
        <f t="shared" si="66"/>
        <v>11</v>
      </c>
      <c r="C1913" s="35">
        <f t="shared" si="67"/>
        <v>42675</v>
      </c>
      <c r="D1913" s="212" t="s">
        <v>863</v>
      </c>
      <c r="E1913" s="35">
        <v>42675</v>
      </c>
      <c r="F1913" s="144" t="s">
        <v>280</v>
      </c>
      <c r="G1913" s="191"/>
      <c r="H1913" s="198"/>
      <c r="I1913" s="186"/>
      <c r="J1913" s="186"/>
      <c r="K1913" s="185"/>
      <c r="L1913" s="186"/>
      <c r="M1913" s="36">
        <v>6428000</v>
      </c>
      <c r="N1913" s="37"/>
      <c r="O1913" s="37" t="s">
        <v>34</v>
      </c>
      <c r="P1913" s="47" t="str">
        <f>IF(AND('331-CT'!$F$5=TH!H1913,OR(N1913="331",O1913="331")),"x","")</f>
        <v/>
      </c>
      <c r="Q1913" s="47" t="str">
        <f>IF(AND(B1913='111'!$L$11,OR($N1913=$Q$7,$O1913=$Q$7)),"x","")</f>
        <v>x</v>
      </c>
      <c r="R1913" s="47" t="str">
        <f>IF(AND($N1913=$Q$7,$B1913&lt;'111'!$L$11),"x","")</f>
        <v/>
      </c>
      <c r="S1913" s="47" t="str">
        <f>IF(AND($O1913=$Q$7,$B1913&lt;'111'!$L$11),"x","")</f>
        <v/>
      </c>
    </row>
    <row r="1914" spans="1:19" ht="15.75" customHeight="1">
      <c r="A1914" s="152" t="str">
        <f>IF(B1914&lt;&gt;"",IF(AND(B1914='IN-TC'!$S$4,OR(TH!N1914="1111",TH!O1914="1111")),TH!D1914,""),"")</f>
        <v/>
      </c>
      <c r="B1914" s="34">
        <f t="shared" si="66"/>
        <v>11</v>
      </c>
      <c r="C1914" s="35">
        <f t="shared" si="67"/>
        <v>42675</v>
      </c>
      <c r="D1914" s="212" t="s">
        <v>864</v>
      </c>
      <c r="E1914" s="35">
        <v>42675</v>
      </c>
      <c r="F1914" s="144" t="s">
        <v>1582</v>
      </c>
      <c r="G1914" s="191" t="s">
        <v>207</v>
      </c>
      <c r="H1914" s="198"/>
      <c r="I1914" s="186"/>
      <c r="J1914" s="186"/>
      <c r="K1914" s="185"/>
      <c r="L1914" s="186"/>
      <c r="M1914" s="36">
        <v>10000000</v>
      </c>
      <c r="N1914" s="37"/>
      <c r="O1914" s="37" t="s">
        <v>34</v>
      </c>
      <c r="P1914" s="47" t="str">
        <f>IF(AND('331-CT'!$F$5=TH!H1914,OR(N1914="331",O1914="331")),"x","")</f>
        <v/>
      </c>
      <c r="Q1914" s="47" t="str">
        <f>IF(AND(B1914='111'!$L$11,OR($N1914=$Q$7,$O1914=$Q$7)),"x","")</f>
        <v>x</v>
      </c>
      <c r="R1914" s="47" t="str">
        <f>IF(AND($N1914=$Q$7,$B1914&lt;'111'!$L$11),"x","")</f>
        <v/>
      </c>
      <c r="S1914" s="47" t="str">
        <f>IF(AND($O1914=$Q$7,$B1914&lt;'111'!$L$11),"x","")</f>
        <v/>
      </c>
    </row>
    <row r="1915" spans="1:19" ht="15.75" customHeight="1">
      <c r="A1915" s="152" t="str">
        <f>IF(B1915&lt;&gt;"",IF(AND(B1915='IN-TC'!$S$4,OR(TH!N1915="1111",TH!O1915="1111")),TH!D1915,""),"")</f>
        <v/>
      </c>
      <c r="B1915" s="34">
        <f t="shared" si="66"/>
        <v>11</v>
      </c>
      <c r="C1915" s="35">
        <f t="shared" si="67"/>
        <v>42675</v>
      </c>
      <c r="D1915" s="212" t="s">
        <v>865</v>
      </c>
      <c r="E1915" s="35">
        <v>42675</v>
      </c>
      <c r="F1915" s="144" t="s">
        <v>1583</v>
      </c>
      <c r="G1915" s="191"/>
      <c r="H1915" s="198"/>
      <c r="I1915" s="186"/>
      <c r="J1915" s="186"/>
      <c r="K1915" s="185"/>
      <c r="L1915" s="186"/>
      <c r="M1915" s="36">
        <v>2000000</v>
      </c>
      <c r="N1915" s="37"/>
      <c r="O1915" s="37" t="s">
        <v>34</v>
      </c>
      <c r="P1915" s="47" t="str">
        <f>IF(AND('331-CT'!$F$5=TH!H1915,OR(N1915="331",O1915="331")),"x","")</f>
        <v/>
      </c>
      <c r="Q1915" s="47" t="str">
        <f>IF(AND(B1915='111'!$L$11,OR($N1915=$Q$7,$O1915=$Q$7)),"x","")</f>
        <v>x</v>
      </c>
      <c r="R1915" s="47" t="str">
        <f>IF(AND($N1915=$Q$7,$B1915&lt;'111'!$L$11),"x","")</f>
        <v/>
      </c>
      <c r="S1915" s="47" t="str">
        <f>IF(AND($O1915=$Q$7,$B1915&lt;'111'!$L$11),"x","")</f>
        <v/>
      </c>
    </row>
    <row r="1916" spans="1:19" ht="15.75" customHeight="1">
      <c r="A1916" s="152" t="str">
        <f>IF(B1916&lt;&gt;"",IF(AND(B1916='IN-TC'!$S$4,OR(TH!N1916="1111",TH!O1916="1111")),TH!D1916,""),"")</f>
        <v/>
      </c>
      <c r="B1916" s="34">
        <f t="shared" si="66"/>
        <v>11</v>
      </c>
      <c r="C1916" s="35">
        <f t="shared" si="67"/>
        <v>42675</v>
      </c>
      <c r="D1916" s="212" t="s">
        <v>866</v>
      </c>
      <c r="E1916" s="35">
        <v>42675</v>
      </c>
      <c r="F1916" s="144" t="s">
        <v>203</v>
      </c>
      <c r="G1916" s="191"/>
      <c r="H1916" s="198" t="s">
        <v>1067</v>
      </c>
      <c r="I1916" s="186"/>
      <c r="J1916" s="186"/>
      <c r="K1916" s="185"/>
      <c r="L1916" s="186"/>
      <c r="M1916" s="36">
        <v>10517000</v>
      </c>
      <c r="N1916" s="37"/>
      <c r="O1916" s="37" t="s">
        <v>34</v>
      </c>
      <c r="P1916" s="47" t="str">
        <f>IF(AND('331-CT'!$F$5=TH!H1916,OR(N1916="331",O1916="331")),"x","")</f>
        <v/>
      </c>
      <c r="Q1916" s="47" t="str">
        <f>IF(AND(B1916='111'!$L$11,OR($N1916=$Q$7,$O1916=$Q$7)),"x","")</f>
        <v>x</v>
      </c>
      <c r="R1916" s="47" t="str">
        <f>IF(AND($N1916=$Q$7,$B1916&lt;'111'!$L$11),"x","")</f>
        <v/>
      </c>
      <c r="S1916" s="47" t="str">
        <f>IF(AND($O1916=$Q$7,$B1916&lt;'111'!$L$11),"x","")</f>
        <v/>
      </c>
    </row>
    <row r="1917" spans="1:19" ht="15.75" customHeight="1">
      <c r="A1917" s="152" t="str">
        <f>IF(B1917&lt;&gt;"",IF(AND(B1917='IN-TC'!$S$4,OR(TH!N1917="1111",TH!O1917="1111")),TH!D1917,""),"")</f>
        <v/>
      </c>
      <c r="B1917" s="34">
        <f t="shared" si="66"/>
        <v>11</v>
      </c>
      <c r="C1917" s="35">
        <f t="shared" si="67"/>
        <v>42675</v>
      </c>
      <c r="D1917" s="212" t="s">
        <v>867</v>
      </c>
      <c r="E1917" s="35">
        <v>42675</v>
      </c>
      <c r="F1917" s="144" t="s">
        <v>1584</v>
      </c>
      <c r="G1917" s="191"/>
      <c r="H1917" s="198"/>
      <c r="I1917" s="186"/>
      <c r="J1917" s="186"/>
      <c r="K1917" s="185"/>
      <c r="L1917" s="186"/>
      <c r="M1917" s="36">
        <v>450000</v>
      </c>
      <c r="N1917" s="37"/>
      <c r="O1917" s="37" t="s">
        <v>34</v>
      </c>
      <c r="P1917" s="47" t="str">
        <f>IF(AND('331-CT'!$F$5=TH!H1917,OR(N1917="331",O1917="331")),"x","")</f>
        <v/>
      </c>
      <c r="Q1917" s="47" t="str">
        <f>IF(AND(B1917='111'!$L$11,OR($N1917=$Q$7,$O1917=$Q$7)),"x","")</f>
        <v>x</v>
      </c>
      <c r="R1917" s="47" t="str">
        <f>IF(AND($N1917=$Q$7,$B1917&lt;'111'!$L$11),"x","")</f>
        <v/>
      </c>
      <c r="S1917" s="47" t="str">
        <f>IF(AND($O1917=$Q$7,$B1917&lt;'111'!$L$11),"x","")</f>
        <v/>
      </c>
    </row>
    <row r="1918" spans="1:19" ht="15.75" customHeight="1">
      <c r="A1918" s="152" t="str">
        <f>IF(B1918&lt;&gt;"",IF(AND(B1918='IN-TC'!$S$4,OR(TH!N1918="1111",TH!O1918="1111")),TH!D1918,""),"")</f>
        <v/>
      </c>
      <c r="B1918" s="34">
        <f t="shared" si="66"/>
        <v>11</v>
      </c>
      <c r="C1918" s="35">
        <f t="shared" si="67"/>
        <v>42675</v>
      </c>
      <c r="D1918" s="212" t="s">
        <v>868</v>
      </c>
      <c r="E1918" s="35">
        <v>42675</v>
      </c>
      <c r="F1918" s="144" t="s">
        <v>1585</v>
      </c>
      <c r="G1918" s="191"/>
      <c r="H1918" s="198"/>
      <c r="I1918" s="186"/>
      <c r="J1918" s="186"/>
      <c r="K1918" s="185"/>
      <c r="L1918" s="186"/>
      <c r="M1918" s="36">
        <v>470000</v>
      </c>
      <c r="N1918" s="37"/>
      <c r="O1918" s="37" t="s">
        <v>34</v>
      </c>
      <c r="P1918" s="47" t="str">
        <f>IF(AND('331-CT'!$F$5=TH!H1918,OR(N1918="331",O1918="331")),"x","")</f>
        <v/>
      </c>
      <c r="Q1918" s="47" t="str">
        <f>IF(AND(B1918='111'!$L$11,OR($N1918=$Q$7,$O1918=$Q$7)),"x","")</f>
        <v>x</v>
      </c>
      <c r="R1918" s="47" t="str">
        <f>IF(AND($N1918=$Q$7,$B1918&lt;'111'!$L$11),"x","")</f>
        <v/>
      </c>
      <c r="S1918" s="47" t="str">
        <f>IF(AND($O1918=$Q$7,$B1918&lt;'111'!$L$11),"x","")</f>
        <v/>
      </c>
    </row>
    <row r="1919" spans="1:19" ht="15.75" customHeight="1">
      <c r="A1919" s="152" t="str">
        <f>IF(B1919&lt;&gt;"",IF(AND(B1919='IN-TC'!$S$4,OR(TH!N1919="1111",TH!O1919="1111")),TH!D1919,""),"")</f>
        <v/>
      </c>
      <c r="B1919" s="34">
        <f t="shared" si="66"/>
        <v>11</v>
      </c>
      <c r="C1919" s="35">
        <f t="shared" si="67"/>
        <v>42675</v>
      </c>
      <c r="D1919" s="212" t="s">
        <v>869</v>
      </c>
      <c r="E1919" s="35">
        <v>42675</v>
      </c>
      <c r="F1919" s="144" t="s">
        <v>1586</v>
      </c>
      <c r="G1919" s="191" t="s">
        <v>204</v>
      </c>
      <c r="H1919" s="198"/>
      <c r="I1919" s="186"/>
      <c r="J1919" s="186"/>
      <c r="K1919" s="185"/>
      <c r="L1919" s="186"/>
      <c r="M1919" s="36">
        <v>80000000</v>
      </c>
      <c r="N1919" s="37"/>
      <c r="O1919" s="37" t="s">
        <v>34</v>
      </c>
      <c r="P1919" s="47" t="str">
        <f>IF(AND('331-CT'!$F$5=TH!H1919,OR(N1919="331",O1919="331")),"x","")</f>
        <v/>
      </c>
      <c r="Q1919" s="47" t="str">
        <f>IF(AND(B1919='111'!$L$11,OR($N1919=$Q$7,$O1919=$Q$7)),"x","")</f>
        <v>x</v>
      </c>
      <c r="R1919" s="47" t="str">
        <f>IF(AND($N1919=$Q$7,$B1919&lt;'111'!$L$11),"x","")</f>
        <v/>
      </c>
      <c r="S1919" s="47" t="str">
        <f>IF(AND($O1919=$Q$7,$B1919&lt;'111'!$L$11),"x","")</f>
        <v/>
      </c>
    </row>
    <row r="1920" spans="1:19" ht="15.75" customHeight="1">
      <c r="A1920" s="152" t="str">
        <f>IF(B1920&lt;&gt;"",IF(AND(B1920='IN-TC'!$S$4,OR(TH!N1920="1111",TH!O1920="1111")),TH!D1920,""),"")</f>
        <v/>
      </c>
      <c r="B1920" s="34">
        <f t="shared" si="66"/>
        <v>11</v>
      </c>
      <c r="C1920" s="35">
        <f t="shared" si="67"/>
        <v>42675</v>
      </c>
      <c r="D1920" s="212" t="s">
        <v>935</v>
      </c>
      <c r="E1920" s="35">
        <v>42675</v>
      </c>
      <c r="F1920" s="144" t="s">
        <v>1587</v>
      </c>
      <c r="G1920" s="191"/>
      <c r="H1920" s="198"/>
      <c r="I1920" s="186"/>
      <c r="J1920" s="186"/>
      <c r="K1920" s="185"/>
      <c r="L1920" s="186"/>
      <c r="M1920" s="36">
        <v>1000000</v>
      </c>
      <c r="N1920" s="37" t="s">
        <v>34</v>
      </c>
      <c r="O1920" s="37"/>
      <c r="P1920" s="47" t="str">
        <f>IF(AND('331-CT'!$F$5=TH!H1920,OR(N1920="331",O1920="331")),"x","")</f>
        <v/>
      </c>
      <c r="Q1920" s="47" t="str">
        <f>IF(AND(B1920='111'!$L$11,OR($N1920=$Q$7,$O1920=$Q$7)),"x","")</f>
        <v>x</v>
      </c>
      <c r="R1920" s="47" t="str">
        <f>IF(AND($N1920=$Q$7,$B1920&lt;'111'!$L$11),"x","")</f>
        <v/>
      </c>
      <c r="S1920" s="47" t="str">
        <f>IF(AND($O1920=$Q$7,$B1920&lt;'111'!$L$11),"x","")</f>
        <v/>
      </c>
    </row>
    <row r="1921" spans="1:19" ht="15.75" customHeight="1">
      <c r="A1921" s="152" t="str">
        <f>IF(B1921&lt;&gt;"",IF(AND(B1921='IN-TC'!$S$4,OR(TH!N1921="1111",TH!O1921="1111")),TH!D1921,""),"")</f>
        <v/>
      </c>
      <c r="B1921" s="34">
        <f t="shared" si="66"/>
        <v>11</v>
      </c>
      <c r="C1921" s="35">
        <f t="shared" si="67"/>
        <v>42675</v>
      </c>
      <c r="D1921" s="212" t="s">
        <v>870</v>
      </c>
      <c r="E1921" s="35">
        <v>42675</v>
      </c>
      <c r="F1921" s="144" t="s">
        <v>473</v>
      </c>
      <c r="G1921" s="191"/>
      <c r="H1921" s="198"/>
      <c r="I1921" s="186"/>
      <c r="J1921" s="186"/>
      <c r="K1921" s="185"/>
      <c r="L1921" s="186"/>
      <c r="M1921" s="36">
        <v>1021000</v>
      </c>
      <c r="N1921" s="37"/>
      <c r="O1921" s="37" t="s">
        <v>34</v>
      </c>
      <c r="P1921" s="47" t="str">
        <f>IF(AND('331-CT'!$F$5=TH!H1921,OR(N1921="331",O1921="331")),"x","")</f>
        <v/>
      </c>
      <c r="Q1921" s="47" t="str">
        <f>IF(AND(B1921='111'!$L$11,OR($N1921=$Q$7,$O1921=$Q$7)),"x","")</f>
        <v>x</v>
      </c>
      <c r="R1921" s="47" t="str">
        <f>IF(AND($N1921=$Q$7,$B1921&lt;'111'!$L$11),"x","")</f>
        <v/>
      </c>
      <c r="S1921" s="47" t="str">
        <f>IF(AND($O1921=$Q$7,$B1921&lt;'111'!$L$11),"x","")</f>
        <v/>
      </c>
    </row>
    <row r="1922" spans="1:19" ht="15.75" customHeight="1">
      <c r="A1922" s="152" t="str">
        <f>IF(B1922&lt;&gt;"",IF(AND(B1922='IN-TC'!$S$4,OR(TH!N1922="1111",TH!O1922="1111")),TH!D1922,""),"")</f>
        <v/>
      </c>
      <c r="B1922" s="34">
        <f t="shared" si="66"/>
        <v>11</v>
      </c>
      <c r="C1922" s="35">
        <f t="shared" si="67"/>
        <v>42675</v>
      </c>
      <c r="D1922" s="212" t="s">
        <v>871</v>
      </c>
      <c r="E1922" s="35">
        <v>42675</v>
      </c>
      <c r="F1922" s="144" t="s">
        <v>1359</v>
      </c>
      <c r="G1922" s="191"/>
      <c r="H1922" s="198"/>
      <c r="I1922" s="186"/>
      <c r="J1922" s="186"/>
      <c r="K1922" s="185"/>
      <c r="L1922" s="186"/>
      <c r="M1922" s="36">
        <v>1000000</v>
      </c>
      <c r="N1922" s="37"/>
      <c r="O1922" s="37" t="s">
        <v>34</v>
      </c>
      <c r="P1922" s="47" t="str">
        <f>IF(AND('331-CT'!$F$5=TH!H1922,OR(N1922="331",O1922="331")),"x","")</f>
        <v/>
      </c>
      <c r="Q1922" s="47" t="str">
        <f>IF(AND(B1922='111'!$L$11,OR($N1922=$Q$7,$O1922=$Q$7)),"x","")</f>
        <v>x</v>
      </c>
      <c r="R1922" s="47" t="str">
        <f>IF(AND($N1922=$Q$7,$B1922&lt;'111'!$L$11),"x","")</f>
        <v/>
      </c>
      <c r="S1922" s="47" t="str">
        <f>IF(AND($O1922=$Q$7,$B1922&lt;'111'!$L$11),"x","")</f>
        <v/>
      </c>
    </row>
    <row r="1923" spans="1:19" ht="15.75" customHeight="1">
      <c r="A1923" s="152" t="str">
        <f>IF(B1923&lt;&gt;"",IF(AND(B1923='IN-TC'!$S$4,OR(TH!N1923="1111",TH!O1923="1111")),TH!D1923,""),"")</f>
        <v/>
      </c>
      <c r="B1923" s="34">
        <f t="shared" si="66"/>
        <v>11</v>
      </c>
      <c r="C1923" s="35">
        <f t="shared" si="67"/>
        <v>42675</v>
      </c>
      <c r="D1923" s="212" t="s">
        <v>872</v>
      </c>
      <c r="E1923" s="35">
        <v>42675</v>
      </c>
      <c r="F1923" s="144" t="s">
        <v>1588</v>
      </c>
      <c r="G1923" s="191"/>
      <c r="H1923" s="198"/>
      <c r="I1923" s="186"/>
      <c r="J1923" s="186"/>
      <c r="K1923" s="185"/>
      <c r="L1923" s="186"/>
      <c r="M1923" s="36">
        <v>2050000</v>
      </c>
      <c r="N1923" s="37"/>
      <c r="O1923" s="37" t="s">
        <v>34</v>
      </c>
      <c r="P1923" s="47" t="str">
        <f>IF(AND('331-CT'!$F$5=TH!H1923,OR(N1923="331",O1923="331")),"x","")</f>
        <v/>
      </c>
      <c r="Q1923" s="47" t="str">
        <f>IF(AND(B1923='111'!$L$11,OR($N1923=$Q$7,$O1923=$Q$7)),"x","")</f>
        <v>x</v>
      </c>
      <c r="R1923" s="47" t="str">
        <f>IF(AND($N1923=$Q$7,$B1923&lt;'111'!$L$11),"x","")</f>
        <v/>
      </c>
      <c r="S1923" s="47" t="str">
        <f>IF(AND($O1923=$Q$7,$B1923&lt;'111'!$L$11),"x","")</f>
        <v/>
      </c>
    </row>
    <row r="1924" spans="1:19" ht="15.75" customHeight="1">
      <c r="A1924" s="152" t="str">
        <f>IF(B1924&lt;&gt;"",IF(AND(B1924='IN-TC'!$S$4,OR(TH!N1924="1111",TH!O1924="1111")),TH!D1924,""),"")</f>
        <v/>
      </c>
      <c r="B1924" s="34">
        <f t="shared" si="66"/>
        <v>11</v>
      </c>
      <c r="C1924" s="35">
        <f t="shared" si="67"/>
        <v>42675</v>
      </c>
      <c r="D1924" s="212" t="s">
        <v>873</v>
      </c>
      <c r="E1924" s="35">
        <v>42675</v>
      </c>
      <c r="F1924" s="144" t="s">
        <v>1333</v>
      </c>
      <c r="G1924" s="191"/>
      <c r="H1924" s="198"/>
      <c r="I1924" s="186"/>
      <c r="J1924" s="186"/>
      <c r="K1924" s="185"/>
      <c r="L1924" s="186"/>
      <c r="M1924" s="36">
        <v>9725000</v>
      </c>
      <c r="N1924" s="37"/>
      <c r="O1924" s="37" t="s">
        <v>34</v>
      </c>
      <c r="P1924" s="47" t="str">
        <f>IF(AND('331-CT'!$F$5=TH!H1924,OR(N1924="331",O1924="331")),"x","")</f>
        <v/>
      </c>
      <c r="Q1924" s="47" t="str">
        <f>IF(AND(B1924='111'!$L$11,OR($N1924=$Q$7,$O1924=$Q$7)),"x","")</f>
        <v>x</v>
      </c>
      <c r="R1924" s="47" t="str">
        <f>IF(AND($N1924=$Q$7,$B1924&lt;'111'!$L$11),"x","")</f>
        <v/>
      </c>
      <c r="S1924" s="47" t="str">
        <f>IF(AND($O1924=$Q$7,$B1924&lt;'111'!$L$11),"x","")</f>
        <v/>
      </c>
    </row>
    <row r="1925" spans="1:19" ht="15.75" customHeight="1">
      <c r="A1925" s="152" t="str">
        <f>IF(B1925&lt;&gt;"",IF(AND(B1925='IN-TC'!$S$4,OR(TH!N1925="1111",TH!O1925="1111")),TH!D1925,""),"")</f>
        <v/>
      </c>
      <c r="B1925" s="34">
        <f t="shared" si="66"/>
        <v>11</v>
      </c>
      <c r="C1925" s="35">
        <f t="shared" si="67"/>
        <v>42675</v>
      </c>
      <c r="D1925" s="212" t="s">
        <v>936</v>
      </c>
      <c r="E1925" s="35">
        <v>42675</v>
      </c>
      <c r="F1925" s="144" t="s">
        <v>1589</v>
      </c>
      <c r="G1925" s="191"/>
      <c r="H1925" s="198"/>
      <c r="I1925" s="186"/>
      <c r="J1925" s="186"/>
      <c r="K1925" s="185"/>
      <c r="L1925" s="186"/>
      <c r="M1925" s="36">
        <v>2000000</v>
      </c>
      <c r="N1925" s="37" t="s">
        <v>34</v>
      </c>
      <c r="O1925" s="37"/>
      <c r="P1925" s="47" t="str">
        <f>IF(AND('331-CT'!$F$5=TH!H1925,OR(N1925="331",O1925="331")),"x","")</f>
        <v/>
      </c>
      <c r="Q1925" s="47" t="str">
        <f>IF(AND(B1925='111'!$L$11,OR($N1925=$Q$7,$O1925=$Q$7)),"x","")</f>
        <v>x</v>
      </c>
      <c r="R1925" s="47" t="str">
        <f>IF(AND($N1925=$Q$7,$B1925&lt;'111'!$L$11),"x","")</f>
        <v/>
      </c>
      <c r="S1925" s="47" t="str">
        <f>IF(AND($O1925=$Q$7,$B1925&lt;'111'!$L$11),"x","")</f>
        <v/>
      </c>
    </row>
    <row r="1926" spans="1:19" ht="15.75" customHeight="1">
      <c r="A1926" s="152" t="str">
        <f>IF(B1926&lt;&gt;"",IF(AND(B1926='IN-TC'!$S$4,OR(TH!N1926="1111",TH!O1926="1111")),TH!D1926,""),"")</f>
        <v/>
      </c>
      <c r="B1926" s="34">
        <f t="shared" si="66"/>
        <v>11</v>
      </c>
      <c r="C1926" s="35">
        <f t="shared" si="67"/>
        <v>42675</v>
      </c>
      <c r="D1926" s="212" t="s">
        <v>874</v>
      </c>
      <c r="E1926" s="35">
        <v>42675</v>
      </c>
      <c r="F1926" s="144" t="s">
        <v>1590</v>
      </c>
      <c r="G1926" s="191"/>
      <c r="H1926" s="198"/>
      <c r="I1926" s="186"/>
      <c r="J1926" s="186"/>
      <c r="K1926" s="185"/>
      <c r="L1926" s="186"/>
      <c r="M1926" s="36">
        <v>1983000</v>
      </c>
      <c r="N1926" s="37"/>
      <c r="O1926" s="37" t="s">
        <v>34</v>
      </c>
      <c r="P1926" s="47" t="str">
        <f>IF(AND('331-CT'!$F$5=TH!H1926,OR(N1926="331",O1926="331")),"x","")</f>
        <v/>
      </c>
      <c r="Q1926" s="47" t="str">
        <f>IF(AND(B1926='111'!$L$11,OR($N1926=$Q$7,$O1926=$Q$7)),"x","")</f>
        <v>x</v>
      </c>
      <c r="R1926" s="47" t="str">
        <f>IF(AND($N1926=$Q$7,$B1926&lt;'111'!$L$11),"x","")</f>
        <v/>
      </c>
      <c r="S1926" s="47" t="str">
        <f>IF(AND($O1926=$Q$7,$B1926&lt;'111'!$L$11),"x","")</f>
        <v/>
      </c>
    </row>
    <row r="1927" spans="1:19" ht="15.75" customHeight="1">
      <c r="A1927" s="152" t="str">
        <f>IF(B1927&lt;&gt;"",IF(AND(B1927='IN-TC'!$S$4,OR(TH!N1927="1111",TH!O1927="1111")),TH!D1927,""),"")</f>
        <v/>
      </c>
      <c r="B1927" s="34">
        <f t="shared" si="66"/>
        <v>11</v>
      </c>
      <c r="C1927" s="35">
        <f t="shared" si="67"/>
        <v>42675</v>
      </c>
      <c r="D1927" s="212" t="s">
        <v>875</v>
      </c>
      <c r="E1927" s="35">
        <v>42675</v>
      </c>
      <c r="F1927" s="144" t="s">
        <v>270</v>
      </c>
      <c r="G1927" s="191" t="s">
        <v>207</v>
      </c>
      <c r="H1927" s="198"/>
      <c r="I1927" s="186"/>
      <c r="J1927" s="186"/>
      <c r="K1927" s="185"/>
      <c r="L1927" s="186"/>
      <c r="M1927" s="36">
        <v>423000</v>
      </c>
      <c r="N1927" s="37"/>
      <c r="O1927" s="37" t="s">
        <v>34</v>
      </c>
      <c r="P1927" s="47" t="str">
        <f>IF(AND('331-CT'!$F$5=TH!H1927,OR(N1927="331",O1927="331")),"x","")</f>
        <v/>
      </c>
      <c r="Q1927" s="47" t="str">
        <f>IF(AND(B1927='111'!$L$11,OR($N1927=$Q$7,$O1927=$Q$7)),"x","")</f>
        <v>x</v>
      </c>
      <c r="R1927" s="47" t="str">
        <f>IF(AND($N1927=$Q$7,$B1927&lt;'111'!$L$11),"x","")</f>
        <v/>
      </c>
      <c r="S1927" s="47" t="str">
        <f>IF(AND($O1927=$Q$7,$B1927&lt;'111'!$L$11),"x","")</f>
        <v/>
      </c>
    </row>
    <row r="1928" spans="1:19" ht="15.75" customHeight="1">
      <c r="A1928" s="152" t="str">
        <f>IF(B1928&lt;&gt;"",IF(AND(B1928='IN-TC'!$S$4,OR(TH!N1928="1111",TH!O1928="1111")),TH!D1928,""),"")</f>
        <v/>
      </c>
      <c r="B1928" s="34">
        <f t="shared" si="66"/>
        <v>11</v>
      </c>
      <c r="C1928" s="35">
        <f t="shared" si="67"/>
        <v>42675</v>
      </c>
      <c r="D1928" s="212" t="s">
        <v>876</v>
      </c>
      <c r="E1928" s="35">
        <v>42675</v>
      </c>
      <c r="F1928" s="144" t="s">
        <v>1591</v>
      </c>
      <c r="G1928" s="191"/>
      <c r="H1928" s="198"/>
      <c r="I1928" s="186"/>
      <c r="J1928" s="186"/>
      <c r="K1928" s="185"/>
      <c r="L1928" s="186"/>
      <c r="M1928" s="36">
        <v>330000</v>
      </c>
      <c r="N1928" s="37"/>
      <c r="O1928" s="37" t="s">
        <v>34</v>
      </c>
      <c r="P1928" s="47" t="str">
        <f>IF(AND('331-CT'!$F$5=TH!H1928,OR(N1928="331",O1928="331")),"x","")</f>
        <v/>
      </c>
      <c r="Q1928" s="47" t="str">
        <f>IF(AND(B1928='111'!$L$11,OR($N1928=$Q$7,$O1928=$Q$7)),"x","")</f>
        <v>x</v>
      </c>
      <c r="R1928" s="47" t="str">
        <f>IF(AND($N1928=$Q$7,$B1928&lt;'111'!$L$11),"x","")</f>
        <v/>
      </c>
      <c r="S1928" s="47" t="str">
        <f>IF(AND($O1928=$Q$7,$B1928&lt;'111'!$L$11),"x","")</f>
        <v/>
      </c>
    </row>
    <row r="1929" spans="1:19" ht="15.75" customHeight="1">
      <c r="A1929" s="152" t="str">
        <f>IF(B1929&lt;&gt;"",IF(AND(B1929='IN-TC'!$S$4,OR(TH!N1929="1111",TH!O1929="1111")),TH!D1929,""),"")</f>
        <v/>
      </c>
      <c r="B1929" s="34">
        <f t="shared" si="66"/>
        <v>11</v>
      </c>
      <c r="C1929" s="35">
        <f t="shared" si="67"/>
        <v>42676</v>
      </c>
      <c r="D1929" s="212" t="s">
        <v>937</v>
      </c>
      <c r="E1929" s="35">
        <v>42676</v>
      </c>
      <c r="F1929" s="144" t="s">
        <v>1592</v>
      </c>
      <c r="G1929" s="191"/>
      <c r="H1929" s="198"/>
      <c r="I1929" s="186"/>
      <c r="J1929" s="186"/>
      <c r="K1929" s="185"/>
      <c r="L1929" s="186"/>
      <c r="M1929" s="36">
        <v>1250000000</v>
      </c>
      <c r="N1929" s="37" t="s">
        <v>34</v>
      </c>
      <c r="O1929" s="37"/>
      <c r="P1929" s="47" t="str">
        <f>IF(AND('331-CT'!$F$5=TH!H1929,OR(N1929="331",O1929="331")),"x","")</f>
        <v/>
      </c>
      <c r="Q1929" s="47" t="str">
        <f>IF(AND(B1929='111'!$L$11,OR($N1929=$Q$7,$O1929=$Q$7)),"x","")</f>
        <v>x</v>
      </c>
      <c r="R1929" s="47" t="str">
        <f>IF(AND($N1929=$Q$7,$B1929&lt;'111'!$L$11),"x","")</f>
        <v/>
      </c>
      <c r="S1929" s="47" t="str">
        <f>IF(AND($O1929=$Q$7,$B1929&lt;'111'!$L$11),"x","")</f>
        <v/>
      </c>
    </row>
    <row r="1930" spans="1:19" ht="15.75" customHeight="1">
      <c r="A1930" s="152" t="str">
        <f>IF(B1930&lt;&gt;"",IF(AND(B1930='IN-TC'!$S$4,OR(TH!N1930="1111",TH!O1930="1111")),TH!D1930,""),"")</f>
        <v/>
      </c>
      <c r="B1930" s="34">
        <f t="shared" si="66"/>
        <v>11</v>
      </c>
      <c r="C1930" s="35">
        <f t="shared" si="67"/>
        <v>42676</v>
      </c>
      <c r="D1930" s="212" t="s">
        <v>877</v>
      </c>
      <c r="E1930" s="35">
        <v>42676</v>
      </c>
      <c r="F1930" s="144" t="s">
        <v>850</v>
      </c>
      <c r="G1930" s="191"/>
      <c r="H1930" s="198" t="s">
        <v>1421</v>
      </c>
      <c r="I1930" s="186"/>
      <c r="J1930" s="186"/>
      <c r="K1930" s="185"/>
      <c r="L1930" s="186"/>
      <c r="M1930" s="36">
        <v>200000000</v>
      </c>
      <c r="N1930" s="37" t="s">
        <v>8</v>
      </c>
      <c r="O1930" s="37" t="s">
        <v>34</v>
      </c>
      <c r="P1930" s="47" t="str">
        <f>IF(AND('331-CT'!$F$5=TH!H1930,OR(N1930="331",O1930="331")),"x","")</f>
        <v/>
      </c>
      <c r="Q1930" s="47" t="str">
        <f>IF(AND(B1930='111'!$L$11,OR($N1930=$Q$7,$O1930=$Q$7)),"x","")</f>
        <v>x</v>
      </c>
      <c r="R1930" s="47" t="str">
        <f>IF(AND($N1930=$Q$7,$B1930&lt;'111'!$L$11),"x","")</f>
        <v/>
      </c>
      <c r="S1930" s="47" t="str">
        <f>IF(AND($O1930=$Q$7,$B1930&lt;'111'!$L$11),"x","")</f>
        <v/>
      </c>
    </row>
    <row r="1931" spans="1:19" ht="15.75" customHeight="1">
      <c r="A1931" s="152" t="str">
        <f>IF(B1931&lt;&gt;"",IF(AND(B1931='IN-TC'!$S$4,OR(TH!N1931="1111",TH!O1931="1111")),TH!D1931,""),"")</f>
        <v/>
      </c>
      <c r="B1931" s="34">
        <f t="shared" si="66"/>
        <v>11</v>
      </c>
      <c r="C1931" s="35">
        <f t="shared" si="67"/>
        <v>42676</v>
      </c>
      <c r="D1931" s="212" t="s">
        <v>878</v>
      </c>
      <c r="E1931" s="35">
        <v>42676</v>
      </c>
      <c r="F1931" s="144" t="s">
        <v>850</v>
      </c>
      <c r="G1931" s="191"/>
      <c r="H1931" s="7" t="s">
        <v>832</v>
      </c>
      <c r="I1931" s="186"/>
      <c r="J1931" s="186"/>
      <c r="K1931" s="185"/>
      <c r="L1931" s="186"/>
      <c r="M1931" s="36">
        <v>100000000</v>
      </c>
      <c r="N1931" s="37" t="s">
        <v>8</v>
      </c>
      <c r="O1931" s="37" t="s">
        <v>34</v>
      </c>
      <c r="P1931" s="47" t="str">
        <f>IF(AND('331-CT'!$F$5=TH!H1931,OR(N1931="331",O1931="331")),"x","")</f>
        <v/>
      </c>
      <c r="Q1931" s="47" t="str">
        <f>IF(AND(B1931='111'!$L$11,OR($N1931=$Q$7,$O1931=$Q$7)),"x","")</f>
        <v>x</v>
      </c>
      <c r="R1931" s="47" t="str">
        <f>IF(AND($N1931=$Q$7,$B1931&lt;'111'!$L$11),"x","")</f>
        <v/>
      </c>
      <c r="S1931" s="47" t="str">
        <f>IF(AND($O1931=$Q$7,$B1931&lt;'111'!$L$11),"x","")</f>
        <v/>
      </c>
    </row>
    <row r="1932" spans="1:19" ht="15.75" customHeight="1">
      <c r="A1932" s="152" t="str">
        <f>IF(B1932&lt;&gt;"",IF(AND(B1932='IN-TC'!$S$4,OR(TH!N1932="1111",TH!O1932="1111")),TH!D1932,""),"")</f>
        <v/>
      </c>
      <c r="B1932" s="34">
        <f t="shared" si="66"/>
        <v>11</v>
      </c>
      <c r="C1932" s="35">
        <f t="shared" si="67"/>
        <v>42676</v>
      </c>
      <c r="D1932" s="212" t="s">
        <v>879</v>
      </c>
      <c r="E1932" s="35">
        <v>42676</v>
      </c>
      <c r="F1932" s="144" t="s">
        <v>850</v>
      </c>
      <c r="G1932" s="191"/>
      <c r="H1932" s="7" t="s">
        <v>840</v>
      </c>
      <c r="I1932" s="186"/>
      <c r="J1932" s="186"/>
      <c r="K1932" s="185"/>
      <c r="L1932" s="186"/>
      <c r="M1932" s="36">
        <v>100000000</v>
      </c>
      <c r="N1932" s="37" t="s">
        <v>8</v>
      </c>
      <c r="O1932" s="37" t="s">
        <v>34</v>
      </c>
      <c r="P1932" s="47" t="str">
        <f>IF(AND('331-CT'!$F$5=TH!H1932,OR(N1932="331",O1932="331")),"x","")</f>
        <v/>
      </c>
      <c r="Q1932" s="47" t="str">
        <f>IF(AND(B1932='111'!$L$11,OR($N1932=$Q$7,$O1932=$Q$7)),"x","")</f>
        <v>x</v>
      </c>
      <c r="R1932" s="47" t="str">
        <f>IF(AND($N1932=$Q$7,$B1932&lt;'111'!$L$11),"x","")</f>
        <v/>
      </c>
      <c r="S1932" s="47" t="str">
        <f>IF(AND($O1932=$Q$7,$B1932&lt;'111'!$L$11),"x","")</f>
        <v/>
      </c>
    </row>
    <row r="1933" spans="1:19" ht="15.75" customHeight="1">
      <c r="A1933" s="152" t="str">
        <f>IF(B1933&lt;&gt;"",IF(AND(B1933='IN-TC'!$S$4,OR(TH!N1933="1111",TH!O1933="1111")),TH!D1933,""),"")</f>
        <v/>
      </c>
      <c r="B1933" s="34">
        <f t="shared" ref="B1933:B1996" si="71">IF(C1933&lt;&gt;"",MONTH(C1933),"")</f>
        <v>11</v>
      </c>
      <c r="C1933" s="35">
        <f t="shared" ref="C1933:C1996" si="72">E1933</f>
        <v>42676</v>
      </c>
      <c r="D1933" s="212" t="s">
        <v>880</v>
      </c>
      <c r="E1933" s="35">
        <v>42676</v>
      </c>
      <c r="F1933" s="144" t="s">
        <v>850</v>
      </c>
      <c r="G1933" s="191"/>
      <c r="H1933" s="7" t="s">
        <v>1419</v>
      </c>
      <c r="I1933" s="186"/>
      <c r="J1933" s="186"/>
      <c r="K1933" s="185"/>
      <c r="L1933" s="186"/>
      <c r="M1933" s="36">
        <v>120000000</v>
      </c>
      <c r="N1933" s="37" t="s">
        <v>8</v>
      </c>
      <c r="O1933" s="37" t="s">
        <v>34</v>
      </c>
      <c r="P1933" s="47" t="str">
        <f>IF(AND('331-CT'!$F$5=TH!H1933,OR(N1933="331",O1933="331")),"x","")</f>
        <v/>
      </c>
      <c r="Q1933" s="47" t="str">
        <f>IF(AND(B1933='111'!$L$11,OR($N1933=$Q$7,$O1933=$Q$7)),"x","")</f>
        <v>x</v>
      </c>
      <c r="R1933" s="47" t="str">
        <f>IF(AND($N1933=$Q$7,$B1933&lt;'111'!$L$11),"x","")</f>
        <v/>
      </c>
      <c r="S1933" s="47" t="str">
        <f>IF(AND($O1933=$Q$7,$B1933&lt;'111'!$L$11),"x","")</f>
        <v/>
      </c>
    </row>
    <row r="1934" spans="1:19" ht="15.75" customHeight="1">
      <c r="A1934" s="152" t="str">
        <f>IF(B1934&lt;&gt;"",IF(AND(B1934='IN-TC'!$S$4,OR(TH!N1934="1111",TH!O1934="1111")),TH!D1934,""),"")</f>
        <v/>
      </c>
      <c r="B1934" s="34">
        <f t="shared" si="71"/>
        <v>11</v>
      </c>
      <c r="C1934" s="35">
        <f t="shared" si="72"/>
        <v>42676</v>
      </c>
      <c r="D1934" s="212" t="s">
        <v>881</v>
      </c>
      <c r="E1934" s="35">
        <v>42676</v>
      </c>
      <c r="F1934" s="144" t="s">
        <v>1593</v>
      </c>
      <c r="G1934" s="191" t="s">
        <v>204</v>
      </c>
      <c r="H1934" s="198"/>
      <c r="I1934" s="186"/>
      <c r="J1934" s="186"/>
      <c r="K1934" s="185"/>
      <c r="L1934" s="186"/>
      <c r="M1934" s="36">
        <v>150000000</v>
      </c>
      <c r="N1934" s="37"/>
      <c r="O1934" s="37" t="s">
        <v>34</v>
      </c>
      <c r="P1934" s="47" t="str">
        <f>IF(AND('331-CT'!$F$5=TH!H1934,OR(N1934="331",O1934="331")),"x","")</f>
        <v/>
      </c>
      <c r="Q1934" s="47" t="str">
        <f>IF(AND(B1934='111'!$L$11,OR($N1934=$Q$7,$O1934=$Q$7)),"x","")</f>
        <v>x</v>
      </c>
      <c r="R1934" s="47" t="str">
        <f>IF(AND($N1934=$Q$7,$B1934&lt;'111'!$L$11),"x","")</f>
        <v/>
      </c>
      <c r="S1934" s="47" t="str">
        <f>IF(AND($O1934=$Q$7,$B1934&lt;'111'!$L$11),"x","")</f>
        <v/>
      </c>
    </row>
    <row r="1935" spans="1:19" ht="15.75" customHeight="1">
      <c r="A1935" s="152" t="str">
        <f>IF(B1935&lt;&gt;"",IF(AND(B1935='IN-TC'!$S$4,OR(TH!N1935="1111",TH!O1935="1111")),TH!D1935,""),"")</f>
        <v/>
      </c>
      <c r="B1935" s="34">
        <f t="shared" si="71"/>
        <v>11</v>
      </c>
      <c r="C1935" s="35">
        <f t="shared" si="72"/>
        <v>42676</v>
      </c>
      <c r="D1935" s="212" t="s">
        <v>881</v>
      </c>
      <c r="E1935" s="35">
        <v>42676</v>
      </c>
      <c r="F1935" s="144" t="s">
        <v>1424</v>
      </c>
      <c r="G1935" s="191"/>
      <c r="H1935" s="198"/>
      <c r="I1935" s="186"/>
      <c r="J1935" s="186"/>
      <c r="K1935" s="185"/>
      <c r="L1935" s="186"/>
      <c r="M1935" s="36">
        <v>45000</v>
      </c>
      <c r="N1935" s="37"/>
      <c r="O1935" s="37" t="s">
        <v>34</v>
      </c>
      <c r="P1935" s="47" t="str">
        <f>IF(AND('331-CT'!$F$5=TH!H1935,OR(N1935="331",O1935="331")),"x","")</f>
        <v/>
      </c>
      <c r="Q1935" s="47" t="str">
        <f>IF(AND(B1935='111'!$L$11,OR($N1935=$Q$7,$O1935=$Q$7)),"x","")</f>
        <v>x</v>
      </c>
      <c r="R1935" s="47" t="str">
        <f>IF(AND($N1935=$Q$7,$B1935&lt;'111'!$L$11),"x","")</f>
        <v/>
      </c>
      <c r="S1935" s="47" t="str">
        <f>IF(AND($O1935=$Q$7,$B1935&lt;'111'!$L$11),"x","")</f>
        <v/>
      </c>
    </row>
    <row r="1936" spans="1:19" ht="15.75" customHeight="1">
      <c r="A1936" s="152" t="str">
        <f>IF(B1936&lt;&gt;"",IF(AND(B1936='IN-TC'!$S$4,OR(TH!N1936="1111",TH!O1936="1111")),TH!D1936,""),"")</f>
        <v/>
      </c>
      <c r="B1936" s="34">
        <f t="shared" si="71"/>
        <v>11</v>
      </c>
      <c r="C1936" s="35">
        <f t="shared" si="72"/>
        <v>42676</v>
      </c>
      <c r="D1936" s="212" t="s">
        <v>882</v>
      </c>
      <c r="E1936" s="35">
        <v>42676</v>
      </c>
      <c r="F1936" s="144" t="s">
        <v>203</v>
      </c>
      <c r="G1936" s="191" t="s">
        <v>203</v>
      </c>
      <c r="H1936" s="198" t="s">
        <v>1594</v>
      </c>
      <c r="I1936" s="186"/>
      <c r="J1936" s="186"/>
      <c r="K1936" s="185"/>
      <c r="L1936" s="186"/>
      <c r="M1936" s="36">
        <v>16017000</v>
      </c>
      <c r="N1936" s="37"/>
      <c r="O1936" s="37" t="s">
        <v>34</v>
      </c>
      <c r="P1936" s="47" t="str">
        <f>IF(AND('331-CT'!$F$5=TH!H1936,OR(N1936="331",O1936="331")),"x","")</f>
        <v/>
      </c>
      <c r="Q1936" s="47" t="str">
        <f>IF(AND(B1936='111'!$L$11,OR($N1936=$Q$7,$O1936=$Q$7)),"x","")</f>
        <v>x</v>
      </c>
      <c r="R1936" s="47" t="str">
        <f>IF(AND($N1936=$Q$7,$B1936&lt;'111'!$L$11),"x","")</f>
        <v/>
      </c>
      <c r="S1936" s="47" t="str">
        <f>IF(AND($O1936=$Q$7,$B1936&lt;'111'!$L$11),"x","")</f>
        <v/>
      </c>
    </row>
    <row r="1937" spans="1:19" ht="15.75" customHeight="1">
      <c r="A1937" s="152" t="str">
        <f>IF(B1937&lt;&gt;"",IF(AND(B1937='IN-TC'!$S$4,OR(TH!N1937="1111",TH!O1937="1111")),TH!D1937,""),"")</f>
        <v/>
      </c>
      <c r="B1937" s="34">
        <f t="shared" si="71"/>
        <v>11</v>
      </c>
      <c r="C1937" s="35">
        <f t="shared" si="72"/>
        <v>42676</v>
      </c>
      <c r="D1937" s="212" t="s">
        <v>883</v>
      </c>
      <c r="E1937" s="35">
        <v>42676</v>
      </c>
      <c r="F1937" s="144" t="s">
        <v>1595</v>
      </c>
      <c r="G1937" s="191"/>
      <c r="H1937" s="198"/>
      <c r="I1937" s="186"/>
      <c r="J1937" s="186"/>
      <c r="K1937" s="185"/>
      <c r="L1937" s="186"/>
      <c r="M1937" s="36">
        <v>2400000</v>
      </c>
      <c r="N1937" s="37"/>
      <c r="O1937" s="37" t="s">
        <v>34</v>
      </c>
      <c r="P1937" s="47" t="str">
        <f>IF(AND('331-CT'!$F$5=TH!H1937,OR(N1937="331",O1937="331")),"x","")</f>
        <v/>
      </c>
      <c r="Q1937" s="47" t="str">
        <f>IF(AND(B1937='111'!$L$11,OR($N1937=$Q$7,$O1937=$Q$7)),"x","")</f>
        <v>x</v>
      </c>
      <c r="R1937" s="47" t="str">
        <f>IF(AND($N1937=$Q$7,$B1937&lt;'111'!$L$11),"x","")</f>
        <v/>
      </c>
      <c r="S1937" s="47" t="str">
        <f>IF(AND($O1937=$Q$7,$B1937&lt;'111'!$L$11),"x","")</f>
        <v/>
      </c>
    </row>
    <row r="1938" spans="1:19" ht="15.75" customHeight="1">
      <c r="A1938" s="152" t="str">
        <f>IF(B1938&lt;&gt;"",IF(AND(B1938='IN-TC'!$S$4,OR(TH!N1938="1111",TH!O1938="1111")),TH!D1938,""),"")</f>
        <v/>
      </c>
      <c r="B1938" s="34">
        <f t="shared" si="71"/>
        <v>11</v>
      </c>
      <c r="C1938" s="35">
        <f t="shared" si="72"/>
        <v>42676</v>
      </c>
      <c r="D1938" s="212" t="s">
        <v>884</v>
      </c>
      <c r="E1938" s="35">
        <v>42676</v>
      </c>
      <c r="F1938" s="144" t="s">
        <v>1339</v>
      </c>
      <c r="G1938" s="191"/>
      <c r="H1938" s="198"/>
      <c r="I1938" s="186"/>
      <c r="J1938" s="186"/>
      <c r="K1938" s="185"/>
      <c r="L1938" s="186"/>
      <c r="M1938" s="36">
        <v>5500000</v>
      </c>
      <c r="N1938" s="37"/>
      <c r="O1938" s="37" t="s">
        <v>34</v>
      </c>
      <c r="P1938" s="47" t="str">
        <f>IF(AND('331-CT'!$F$5=TH!H1938,OR(N1938="331",O1938="331")),"x","")</f>
        <v/>
      </c>
      <c r="Q1938" s="47" t="str">
        <f>IF(AND(B1938='111'!$L$11,OR($N1938=$Q$7,$O1938=$Q$7)),"x","")</f>
        <v>x</v>
      </c>
      <c r="R1938" s="47" t="str">
        <f>IF(AND($N1938=$Q$7,$B1938&lt;'111'!$L$11),"x","")</f>
        <v/>
      </c>
      <c r="S1938" s="47" t="str">
        <f>IF(AND($O1938=$Q$7,$B1938&lt;'111'!$L$11),"x","")</f>
        <v/>
      </c>
    </row>
    <row r="1939" spans="1:19" ht="15.75" customHeight="1">
      <c r="A1939" s="152" t="str">
        <f>IF(B1939&lt;&gt;"",IF(AND(B1939='IN-TC'!$S$4,OR(TH!N1939="1111",TH!O1939="1111")),TH!D1939,""),"")</f>
        <v/>
      </c>
      <c r="B1939" s="34">
        <f t="shared" si="71"/>
        <v>11</v>
      </c>
      <c r="C1939" s="35">
        <f t="shared" si="72"/>
        <v>42676</v>
      </c>
      <c r="D1939" s="212" t="s">
        <v>885</v>
      </c>
      <c r="E1939" s="35">
        <v>42676</v>
      </c>
      <c r="F1939" s="144" t="s">
        <v>850</v>
      </c>
      <c r="G1939" s="191"/>
      <c r="H1939" s="7" t="s">
        <v>1420</v>
      </c>
      <c r="I1939" s="186"/>
      <c r="J1939" s="186"/>
      <c r="K1939" s="185"/>
      <c r="L1939" s="186"/>
      <c r="M1939" s="36">
        <v>150000000</v>
      </c>
      <c r="N1939" s="37" t="s">
        <v>8</v>
      </c>
      <c r="O1939" s="37" t="s">
        <v>34</v>
      </c>
      <c r="P1939" s="47" t="str">
        <f>IF(AND('331-CT'!$F$5=TH!H1939,OR(N1939="331",O1939="331")),"x","")</f>
        <v/>
      </c>
      <c r="Q1939" s="47" t="str">
        <f>IF(AND(B1939='111'!$L$11,OR($N1939=$Q$7,$O1939=$Q$7)),"x","")</f>
        <v>x</v>
      </c>
      <c r="R1939" s="47" t="str">
        <f>IF(AND($N1939=$Q$7,$B1939&lt;'111'!$L$11),"x","")</f>
        <v/>
      </c>
      <c r="S1939" s="47" t="str">
        <f>IF(AND($O1939=$Q$7,$B1939&lt;'111'!$L$11),"x","")</f>
        <v/>
      </c>
    </row>
    <row r="1940" spans="1:19" ht="15.75" customHeight="1">
      <c r="A1940" s="152" t="str">
        <f>IF(B1940&lt;&gt;"",IF(AND(B1940='IN-TC'!$S$4,OR(TH!N1940="1111",TH!O1940="1111")),TH!D1940,""),"")</f>
        <v/>
      </c>
      <c r="B1940" s="34">
        <f t="shared" si="71"/>
        <v>11</v>
      </c>
      <c r="C1940" s="35">
        <f t="shared" si="72"/>
        <v>42676</v>
      </c>
      <c r="D1940" s="212" t="s">
        <v>886</v>
      </c>
      <c r="E1940" s="35">
        <v>42676</v>
      </c>
      <c r="F1940" s="144" t="s">
        <v>850</v>
      </c>
      <c r="G1940" s="191"/>
      <c r="H1940" s="7" t="s">
        <v>851</v>
      </c>
      <c r="I1940" s="186"/>
      <c r="J1940" s="186"/>
      <c r="K1940" s="185"/>
      <c r="L1940" s="186"/>
      <c r="M1940" s="36">
        <v>243680000</v>
      </c>
      <c r="N1940" s="37" t="s">
        <v>8</v>
      </c>
      <c r="O1940" s="37" t="s">
        <v>34</v>
      </c>
      <c r="P1940" s="47" t="str">
        <f>IF(AND('331-CT'!$F$5=TH!H1940,OR(N1940="331",O1940="331")),"x","")</f>
        <v/>
      </c>
      <c r="Q1940" s="47" t="str">
        <f>IF(AND(B1940='111'!$L$11,OR($N1940=$Q$7,$O1940=$Q$7)),"x","")</f>
        <v>x</v>
      </c>
      <c r="R1940" s="47" t="str">
        <f>IF(AND($N1940=$Q$7,$B1940&lt;'111'!$L$11),"x","")</f>
        <v/>
      </c>
      <c r="S1940" s="47" t="str">
        <f>IF(AND($O1940=$Q$7,$B1940&lt;'111'!$L$11),"x","")</f>
        <v/>
      </c>
    </row>
    <row r="1941" spans="1:19" ht="15.75" customHeight="1">
      <c r="A1941" s="152" t="str">
        <f>IF(B1941&lt;&gt;"",IF(AND(B1941='IN-TC'!$S$4,OR(TH!N1941="1111",TH!O1941="1111")),TH!D1941,""),"")</f>
        <v/>
      </c>
      <c r="B1941" s="34">
        <f t="shared" si="71"/>
        <v>11</v>
      </c>
      <c r="C1941" s="35">
        <f t="shared" si="72"/>
        <v>42676</v>
      </c>
      <c r="D1941" s="212" t="s">
        <v>887</v>
      </c>
      <c r="E1941" s="35">
        <v>42676</v>
      </c>
      <c r="F1941" s="144" t="s">
        <v>1596</v>
      </c>
      <c r="G1941" s="191"/>
      <c r="H1941" s="198"/>
      <c r="I1941" s="186"/>
      <c r="J1941" s="186"/>
      <c r="K1941" s="185"/>
      <c r="L1941" s="186"/>
      <c r="M1941" s="36">
        <v>51516000</v>
      </c>
      <c r="N1941" s="37"/>
      <c r="O1941" s="37" t="s">
        <v>34</v>
      </c>
      <c r="P1941" s="47" t="str">
        <f>IF(AND('331-CT'!$F$5=TH!H1941,OR(N1941="331",O1941="331")),"x","")</f>
        <v/>
      </c>
      <c r="Q1941" s="47" t="str">
        <f>IF(AND(B1941='111'!$L$11,OR($N1941=$Q$7,$O1941=$Q$7)),"x","")</f>
        <v>x</v>
      </c>
      <c r="R1941" s="47" t="str">
        <f>IF(AND($N1941=$Q$7,$B1941&lt;'111'!$L$11),"x","")</f>
        <v/>
      </c>
      <c r="S1941" s="47" t="str">
        <f>IF(AND($O1941=$Q$7,$B1941&lt;'111'!$L$11),"x","")</f>
        <v/>
      </c>
    </row>
    <row r="1942" spans="1:19" ht="15.75" customHeight="1">
      <c r="A1942" s="152" t="str">
        <f>IF(B1942&lt;&gt;"",IF(AND(B1942='IN-TC'!$S$4,OR(TH!N1942="1111",TH!O1942="1111")),TH!D1942,""),"")</f>
        <v/>
      </c>
      <c r="B1942" s="34">
        <f t="shared" si="71"/>
        <v>11</v>
      </c>
      <c r="C1942" s="35">
        <f t="shared" si="72"/>
        <v>42676</v>
      </c>
      <c r="D1942" s="212" t="s">
        <v>888</v>
      </c>
      <c r="E1942" s="35">
        <v>42676</v>
      </c>
      <c r="F1942" s="144" t="s">
        <v>1597</v>
      </c>
      <c r="G1942" s="191"/>
      <c r="H1942" s="198"/>
      <c r="I1942" s="186"/>
      <c r="J1942" s="186"/>
      <c r="K1942" s="185"/>
      <c r="L1942" s="186"/>
      <c r="M1942" s="36">
        <v>117000000</v>
      </c>
      <c r="N1942" s="37"/>
      <c r="O1942" s="37" t="s">
        <v>34</v>
      </c>
      <c r="P1942" s="47" t="str">
        <f>IF(AND('331-CT'!$F$5=TH!H1942,OR(N1942="331",O1942="331")),"x","")</f>
        <v/>
      </c>
      <c r="Q1942" s="47" t="str">
        <f>IF(AND(B1942='111'!$L$11,OR($N1942=$Q$7,$O1942=$Q$7)),"x","")</f>
        <v>x</v>
      </c>
      <c r="R1942" s="47" t="str">
        <f>IF(AND($N1942=$Q$7,$B1942&lt;'111'!$L$11),"x","")</f>
        <v/>
      </c>
      <c r="S1942" s="47" t="str">
        <f>IF(AND($O1942=$Q$7,$B1942&lt;'111'!$L$11),"x","")</f>
        <v/>
      </c>
    </row>
    <row r="1943" spans="1:19" ht="15.75" customHeight="1">
      <c r="A1943" s="152" t="str">
        <f>IF(B1943&lt;&gt;"",IF(AND(B1943='IN-TC'!$S$4,OR(TH!N1943="1111",TH!O1943="1111")),TH!D1943,""),"")</f>
        <v/>
      </c>
      <c r="B1943" s="34">
        <f t="shared" si="71"/>
        <v>11</v>
      </c>
      <c r="C1943" s="35">
        <f t="shared" si="72"/>
        <v>42676</v>
      </c>
      <c r="D1943" s="212" t="s">
        <v>889</v>
      </c>
      <c r="E1943" s="35">
        <v>42676</v>
      </c>
      <c r="F1943" s="144" t="s">
        <v>1598</v>
      </c>
      <c r="G1943" s="191"/>
      <c r="H1943" s="198"/>
      <c r="I1943" s="186"/>
      <c r="J1943" s="186"/>
      <c r="K1943" s="185"/>
      <c r="L1943" s="186"/>
      <c r="M1943" s="36">
        <v>10200000</v>
      </c>
      <c r="N1943" s="37"/>
      <c r="O1943" s="37" t="s">
        <v>34</v>
      </c>
      <c r="P1943" s="47" t="str">
        <f>IF(AND('331-CT'!$F$5=TH!H1943,OR(N1943="331",O1943="331")),"x","")</f>
        <v/>
      </c>
      <c r="Q1943" s="47" t="str">
        <f>IF(AND(B1943='111'!$L$11,OR($N1943=$Q$7,$O1943=$Q$7)),"x","")</f>
        <v>x</v>
      </c>
      <c r="R1943" s="47" t="str">
        <f>IF(AND($N1943=$Q$7,$B1943&lt;'111'!$L$11),"x","")</f>
        <v/>
      </c>
      <c r="S1943" s="47" t="str">
        <f>IF(AND($O1943=$Q$7,$B1943&lt;'111'!$L$11),"x","")</f>
        <v/>
      </c>
    </row>
    <row r="1944" spans="1:19" ht="15.75" customHeight="1">
      <c r="A1944" s="152" t="str">
        <f>IF(B1944&lt;&gt;"",IF(AND(B1944='IN-TC'!$S$4,OR(TH!N1944="1111",TH!O1944="1111")),TH!D1944,""),"")</f>
        <v/>
      </c>
      <c r="B1944" s="34">
        <f t="shared" si="71"/>
        <v>11</v>
      </c>
      <c r="C1944" s="35">
        <f t="shared" si="72"/>
        <v>42676</v>
      </c>
      <c r="D1944" s="212" t="s">
        <v>890</v>
      </c>
      <c r="E1944" s="35">
        <v>42676</v>
      </c>
      <c r="F1944" s="144" t="s">
        <v>1599</v>
      </c>
      <c r="G1944" s="191"/>
      <c r="H1944" s="198"/>
      <c r="I1944" s="186"/>
      <c r="J1944" s="186"/>
      <c r="K1944" s="185"/>
      <c r="L1944" s="186"/>
      <c r="M1944" s="36">
        <v>21262000</v>
      </c>
      <c r="N1944" s="37"/>
      <c r="O1944" s="37" t="s">
        <v>34</v>
      </c>
      <c r="P1944" s="47" t="str">
        <f>IF(AND('331-CT'!$F$5=TH!H1944,OR(N1944="331",O1944="331")),"x","")</f>
        <v/>
      </c>
      <c r="Q1944" s="47" t="str">
        <f>IF(AND(B1944='111'!$L$11,OR($N1944=$Q$7,$O1944=$Q$7)),"x","")</f>
        <v>x</v>
      </c>
      <c r="R1944" s="47" t="str">
        <f>IF(AND($N1944=$Q$7,$B1944&lt;'111'!$L$11),"x","")</f>
        <v/>
      </c>
      <c r="S1944" s="47" t="str">
        <f>IF(AND($O1944=$Q$7,$B1944&lt;'111'!$L$11),"x","")</f>
        <v/>
      </c>
    </row>
    <row r="1945" spans="1:19" ht="15.75" customHeight="1">
      <c r="A1945" s="152" t="str">
        <f>IF(B1945&lt;&gt;"",IF(AND(B1945='IN-TC'!$S$4,OR(TH!N1945="1111",TH!O1945="1111")),TH!D1945,""),"")</f>
        <v/>
      </c>
      <c r="B1945" s="34">
        <f t="shared" si="71"/>
        <v>11</v>
      </c>
      <c r="C1945" s="35">
        <f t="shared" si="72"/>
        <v>42677</v>
      </c>
      <c r="D1945" s="212" t="s">
        <v>891</v>
      </c>
      <c r="E1945" s="35">
        <v>42677</v>
      </c>
      <c r="F1945" s="144" t="s">
        <v>1600</v>
      </c>
      <c r="G1945" s="191"/>
      <c r="H1945" s="198"/>
      <c r="I1945" s="186"/>
      <c r="J1945" s="186"/>
      <c r="K1945" s="185"/>
      <c r="L1945" s="186"/>
      <c r="M1945" s="36">
        <v>5000000</v>
      </c>
      <c r="N1945" s="37"/>
      <c r="O1945" s="37" t="s">
        <v>34</v>
      </c>
      <c r="P1945" s="47" t="str">
        <f>IF(AND('331-CT'!$F$5=TH!H1945,OR(N1945="331",O1945="331")),"x","")</f>
        <v/>
      </c>
      <c r="Q1945" s="47" t="str">
        <f>IF(AND(B1945='111'!$L$11,OR($N1945=$Q$7,$O1945=$Q$7)),"x","")</f>
        <v>x</v>
      </c>
      <c r="R1945" s="47" t="str">
        <f>IF(AND($N1945=$Q$7,$B1945&lt;'111'!$L$11),"x","")</f>
        <v/>
      </c>
      <c r="S1945" s="47" t="str">
        <f>IF(AND($O1945=$Q$7,$B1945&lt;'111'!$L$11),"x","")</f>
        <v/>
      </c>
    </row>
    <row r="1946" spans="1:19" ht="15.75" customHeight="1">
      <c r="A1946" s="152" t="str">
        <f>IF(B1946&lt;&gt;"",IF(AND(B1946='IN-TC'!$S$4,OR(TH!N1946="1111",TH!O1946="1111")),TH!D1946,""),"")</f>
        <v/>
      </c>
      <c r="B1946" s="34">
        <f t="shared" si="71"/>
        <v>11</v>
      </c>
      <c r="C1946" s="35">
        <f t="shared" si="72"/>
        <v>42677</v>
      </c>
      <c r="D1946" s="212" t="s">
        <v>892</v>
      </c>
      <c r="E1946" s="35">
        <v>42677</v>
      </c>
      <c r="F1946" s="144" t="s">
        <v>736</v>
      </c>
      <c r="G1946" s="191"/>
      <c r="H1946" s="198"/>
      <c r="I1946" s="186"/>
      <c r="J1946" s="186"/>
      <c r="K1946" s="185"/>
      <c r="L1946" s="186"/>
      <c r="M1946" s="36">
        <v>8823000</v>
      </c>
      <c r="N1946" s="37"/>
      <c r="O1946" s="37" t="s">
        <v>34</v>
      </c>
      <c r="P1946" s="47" t="str">
        <f>IF(AND('331-CT'!$F$5=TH!H1946,OR(N1946="331",O1946="331")),"x","")</f>
        <v/>
      </c>
      <c r="Q1946" s="47" t="str">
        <f>IF(AND(B1946='111'!$L$11,OR($N1946=$Q$7,$O1946=$Q$7)),"x","")</f>
        <v>x</v>
      </c>
      <c r="R1946" s="47" t="str">
        <f>IF(AND($N1946=$Q$7,$B1946&lt;'111'!$L$11),"x","")</f>
        <v/>
      </c>
      <c r="S1946" s="47" t="str">
        <f>IF(AND($O1946=$Q$7,$B1946&lt;'111'!$L$11),"x","")</f>
        <v/>
      </c>
    </row>
    <row r="1947" spans="1:19" ht="15.75" customHeight="1">
      <c r="A1947" s="152" t="str">
        <f>IF(B1947&lt;&gt;"",IF(AND(B1947='IN-TC'!$S$4,OR(TH!N1947="1111",TH!O1947="1111")),TH!D1947,""),"")</f>
        <v/>
      </c>
      <c r="B1947" s="34">
        <f t="shared" si="71"/>
        <v>11</v>
      </c>
      <c r="C1947" s="35">
        <f t="shared" si="72"/>
        <v>42677</v>
      </c>
      <c r="D1947" s="212" t="s">
        <v>893</v>
      </c>
      <c r="E1947" s="35">
        <v>42677</v>
      </c>
      <c r="F1947" s="144" t="s">
        <v>1209</v>
      </c>
      <c r="G1947" s="191"/>
      <c r="H1947" s="198"/>
      <c r="I1947" s="186"/>
      <c r="J1947" s="186"/>
      <c r="K1947" s="185"/>
      <c r="L1947" s="186"/>
      <c r="M1947" s="36">
        <v>150000</v>
      </c>
      <c r="N1947" s="37"/>
      <c r="O1947" s="37" t="s">
        <v>34</v>
      </c>
      <c r="P1947" s="47" t="str">
        <f>IF(AND('331-CT'!$F$5=TH!H1947,OR(N1947="331",O1947="331")),"x","")</f>
        <v/>
      </c>
      <c r="Q1947" s="47" t="str">
        <f>IF(AND(B1947='111'!$L$11,OR($N1947=$Q$7,$O1947=$Q$7)),"x","")</f>
        <v>x</v>
      </c>
      <c r="R1947" s="47" t="str">
        <f>IF(AND($N1947=$Q$7,$B1947&lt;'111'!$L$11),"x","")</f>
        <v/>
      </c>
      <c r="S1947" s="47" t="str">
        <f>IF(AND($O1947=$Q$7,$B1947&lt;'111'!$L$11),"x","")</f>
        <v/>
      </c>
    </row>
    <row r="1948" spans="1:19" ht="15.75" customHeight="1">
      <c r="A1948" s="152" t="str">
        <f>IF(B1948&lt;&gt;"",IF(AND(B1948='IN-TC'!$S$4,OR(TH!N1948="1111",TH!O1948="1111")),TH!D1948,""),"")</f>
        <v/>
      </c>
      <c r="B1948" s="34">
        <f t="shared" si="71"/>
        <v>11</v>
      </c>
      <c r="C1948" s="35">
        <f t="shared" si="72"/>
        <v>42677</v>
      </c>
      <c r="D1948" s="212" t="s">
        <v>938</v>
      </c>
      <c r="E1948" s="35">
        <v>42677</v>
      </c>
      <c r="F1948" s="144" t="s">
        <v>1019</v>
      </c>
      <c r="G1948" s="191"/>
      <c r="H1948" s="198"/>
      <c r="I1948" s="186"/>
      <c r="J1948" s="186"/>
      <c r="K1948" s="185"/>
      <c r="L1948" s="186"/>
      <c r="M1948" s="36">
        <v>270000000</v>
      </c>
      <c r="N1948" s="37" t="s">
        <v>34</v>
      </c>
      <c r="O1948" s="37"/>
      <c r="P1948" s="47" t="str">
        <f>IF(AND('331-CT'!$F$5=TH!H1948,OR(N1948="331",O1948="331")),"x","")</f>
        <v/>
      </c>
      <c r="Q1948" s="47" t="str">
        <f>IF(AND(B1948='111'!$L$11,OR($N1948=$Q$7,$O1948=$Q$7)),"x","")</f>
        <v>x</v>
      </c>
      <c r="R1948" s="47" t="str">
        <f>IF(AND($N1948=$Q$7,$B1948&lt;'111'!$L$11),"x","")</f>
        <v/>
      </c>
      <c r="S1948" s="47" t="str">
        <f>IF(AND($O1948=$Q$7,$B1948&lt;'111'!$L$11),"x","")</f>
        <v/>
      </c>
    </row>
    <row r="1949" spans="1:19" ht="15.75" customHeight="1">
      <c r="A1949" s="152" t="str">
        <f>IF(B1949&lt;&gt;"",IF(AND(B1949='IN-TC'!$S$4,OR(TH!N1949="1111",TH!O1949="1111")),TH!D1949,""),"")</f>
        <v/>
      </c>
      <c r="B1949" s="34">
        <f t="shared" si="71"/>
        <v>11</v>
      </c>
      <c r="C1949" s="35">
        <f t="shared" si="72"/>
        <v>42679</v>
      </c>
      <c r="D1949" s="212" t="s">
        <v>894</v>
      </c>
      <c r="E1949" s="35">
        <v>42679</v>
      </c>
      <c r="F1949" s="144" t="s">
        <v>1601</v>
      </c>
      <c r="G1949" s="191" t="s">
        <v>204</v>
      </c>
      <c r="H1949" s="198"/>
      <c r="I1949" s="186"/>
      <c r="J1949" s="186"/>
      <c r="K1949" s="185"/>
      <c r="L1949" s="186"/>
      <c r="M1949" s="36">
        <v>125041000</v>
      </c>
      <c r="N1949" s="37"/>
      <c r="O1949" s="37" t="s">
        <v>34</v>
      </c>
      <c r="P1949" s="47" t="str">
        <f>IF(AND('331-CT'!$F$5=TH!H1949,OR(N1949="331",O1949="331")),"x","")</f>
        <v/>
      </c>
      <c r="Q1949" s="47" t="str">
        <f>IF(AND(B1949='111'!$L$11,OR($N1949=$Q$7,$O1949=$Q$7)),"x","")</f>
        <v>x</v>
      </c>
      <c r="R1949" s="47" t="str">
        <f>IF(AND($N1949=$Q$7,$B1949&lt;'111'!$L$11),"x","")</f>
        <v/>
      </c>
      <c r="S1949" s="47" t="str">
        <f>IF(AND($O1949=$Q$7,$B1949&lt;'111'!$L$11),"x","")</f>
        <v/>
      </c>
    </row>
    <row r="1950" spans="1:19" ht="15.75" customHeight="1">
      <c r="A1950" s="152" t="str">
        <f>IF(B1950&lt;&gt;"",IF(AND(B1950='IN-TC'!$S$4,OR(TH!N1950="1111",TH!O1950="1111")),TH!D1950,""),"")</f>
        <v/>
      </c>
      <c r="B1950" s="34">
        <f t="shared" si="71"/>
        <v>11</v>
      </c>
      <c r="C1950" s="35">
        <f t="shared" si="72"/>
        <v>42679</v>
      </c>
      <c r="D1950" s="212" t="s">
        <v>895</v>
      </c>
      <c r="E1950" s="35">
        <v>42679</v>
      </c>
      <c r="F1950" s="144" t="s">
        <v>1602</v>
      </c>
      <c r="G1950" s="191" t="s">
        <v>207</v>
      </c>
      <c r="H1950" s="198"/>
      <c r="I1950" s="186"/>
      <c r="J1950" s="186"/>
      <c r="K1950" s="185"/>
      <c r="L1950" s="186"/>
      <c r="M1950" s="36">
        <v>826000</v>
      </c>
      <c r="N1950" s="37"/>
      <c r="O1950" s="37" t="s">
        <v>34</v>
      </c>
      <c r="P1950" s="47" t="str">
        <f>IF(AND('331-CT'!$F$5=TH!H1950,OR(N1950="331",O1950="331")),"x","")</f>
        <v/>
      </c>
      <c r="Q1950" s="47" t="str">
        <f>IF(AND(B1950='111'!$L$11,OR($N1950=$Q$7,$O1950=$Q$7)),"x","")</f>
        <v>x</v>
      </c>
      <c r="R1950" s="47" t="str">
        <f>IF(AND($N1950=$Q$7,$B1950&lt;'111'!$L$11),"x","")</f>
        <v/>
      </c>
      <c r="S1950" s="47" t="str">
        <f>IF(AND($O1950=$Q$7,$B1950&lt;'111'!$L$11),"x","")</f>
        <v/>
      </c>
    </row>
    <row r="1951" spans="1:19" ht="15.75" customHeight="1">
      <c r="A1951" s="152" t="str">
        <f>IF(B1951&lt;&gt;"",IF(AND(B1951='IN-TC'!$S$4,OR(TH!N1951="1111",TH!O1951="1111")),TH!D1951,""),"")</f>
        <v/>
      </c>
      <c r="B1951" s="34">
        <f t="shared" si="71"/>
        <v>11</v>
      </c>
      <c r="C1951" s="35">
        <f t="shared" si="72"/>
        <v>42679</v>
      </c>
      <c r="D1951" s="212" t="s">
        <v>896</v>
      </c>
      <c r="E1951" s="35">
        <v>42679</v>
      </c>
      <c r="F1951" s="144" t="s">
        <v>203</v>
      </c>
      <c r="G1951" s="191" t="s">
        <v>203</v>
      </c>
      <c r="H1951" s="198" t="s">
        <v>1603</v>
      </c>
      <c r="I1951" s="186"/>
      <c r="J1951" s="186"/>
      <c r="K1951" s="185"/>
      <c r="L1951" s="186"/>
      <c r="M1951" s="36">
        <v>6017000</v>
      </c>
      <c r="N1951" s="37"/>
      <c r="O1951" s="37" t="s">
        <v>34</v>
      </c>
      <c r="P1951" s="47" t="str">
        <f>IF(AND('331-CT'!$F$5=TH!H1951,OR(N1951="331",O1951="331")),"x","")</f>
        <v/>
      </c>
      <c r="Q1951" s="47" t="str">
        <f>IF(AND(B1951='111'!$L$11,OR($N1951=$Q$7,$O1951=$Q$7)),"x","")</f>
        <v>x</v>
      </c>
      <c r="R1951" s="47" t="str">
        <f>IF(AND($N1951=$Q$7,$B1951&lt;'111'!$L$11),"x","")</f>
        <v/>
      </c>
      <c r="S1951" s="47" t="str">
        <f>IF(AND($O1951=$Q$7,$B1951&lt;'111'!$L$11),"x","")</f>
        <v/>
      </c>
    </row>
    <row r="1952" spans="1:19" ht="15.75" customHeight="1">
      <c r="A1952" s="152" t="str">
        <f>IF(B1952&lt;&gt;"",IF(AND(B1952='IN-TC'!$S$4,OR(TH!N1952="1111",TH!O1952="1111")),TH!D1952,""),"")</f>
        <v/>
      </c>
      <c r="B1952" s="34">
        <f t="shared" si="71"/>
        <v>11</v>
      </c>
      <c r="C1952" s="35">
        <f t="shared" si="72"/>
        <v>42679</v>
      </c>
      <c r="D1952" s="212" t="s">
        <v>897</v>
      </c>
      <c r="E1952" s="35">
        <v>42679</v>
      </c>
      <c r="F1952" s="144" t="s">
        <v>1604</v>
      </c>
      <c r="G1952" s="191"/>
      <c r="H1952" s="198"/>
      <c r="I1952" s="186"/>
      <c r="J1952" s="186"/>
      <c r="K1952" s="185"/>
      <c r="L1952" s="186"/>
      <c r="M1952" s="36">
        <v>4350000</v>
      </c>
      <c r="N1952" s="37"/>
      <c r="O1952" s="37" t="s">
        <v>34</v>
      </c>
      <c r="P1952" s="47" t="str">
        <f>IF(AND('331-CT'!$F$5=TH!H1952,OR(N1952="331",O1952="331")),"x","")</f>
        <v/>
      </c>
      <c r="Q1952" s="47" t="str">
        <f>IF(AND(B1952='111'!$L$11,OR($N1952=$Q$7,$O1952=$Q$7)),"x","")</f>
        <v>x</v>
      </c>
      <c r="R1952" s="47" t="str">
        <f>IF(AND($N1952=$Q$7,$B1952&lt;'111'!$L$11),"x","")</f>
        <v/>
      </c>
      <c r="S1952" s="47" t="str">
        <f>IF(AND($O1952=$Q$7,$B1952&lt;'111'!$L$11),"x","")</f>
        <v/>
      </c>
    </row>
    <row r="1953" spans="1:19" ht="15.75" customHeight="1">
      <c r="A1953" s="152" t="str">
        <f>IF(B1953&lt;&gt;"",IF(AND(B1953='IN-TC'!$S$4,OR(TH!N1953="1111",TH!O1953="1111")),TH!D1953,""),"")</f>
        <v/>
      </c>
      <c r="B1953" s="34">
        <f t="shared" si="71"/>
        <v>11</v>
      </c>
      <c r="C1953" s="35">
        <f t="shared" si="72"/>
        <v>42679</v>
      </c>
      <c r="D1953" s="212" t="s">
        <v>898</v>
      </c>
      <c r="E1953" s="35">
        <v>42679</v>
      </c>
      <c r="F1953" s="144" t="s">
        <v>1605</v>
      </c>
      <c r="G1953" s="191" t="s">
        <v>212</v>
      </c>
      <c r="H1953" s="198"/>
      <c r="I1953" s="186"/>
      <c r="J1953" s="186"/>
      <c r="K1953" s="185"/>
      <c r="L1953" s="186"/>
      <c r="M1953" s="36">
        <v>64118000</v>
      </c>
      <c r="N1953" s="37"/>
      <c r="O1953" s="37" t="s">
        <v>34</v>
      </c>
      <c r="P1953" s="47" t="str">
        <f>IF(AND('331-CT'!$F$5=TH!H1953,OR(N1953="331",O1953="331")),"x","")</f>
        <v/>
      </c>
      <c r="Q1953" s="47" t="str">
        <f>IF(AND(B1953='111'!$L$11,OR($N1953=$Q$7,$O1953=$Q$7)),"x","")</f>
        <v>x</v>
      </c>
      <c r="R1953" s="47" t="str">
        <f>IF(AND($N1953=$Q$7,$B1953&lt;'111'!$L$11),"x","")</f>
        <v/>
      </c>
      <c r="S1953" s="47" t="str">
        <f>IF(AND($O1953=$Q$7,$B1953&lt;'111'!$L$11),"x","")</f>
        <v/>
      </c>
    </row>
    <row r="1954" spans="1:19" ht="15.75" customHeight="1">
      <c r="A1954" s="152" t="str">
        <f>IF(B1954&lt;&gt;"",IF(AND(B1954='IN-TC'!$S$4,OR(TH!N1954="1111",TH!O1954="1111")),TH!D1954,""),"")</f>
        <v/>
      </c>
      <c r="B1954" s="34">
        <f t="shared" si="71"/>
        <v>11</v>
      </c>
      <c r="C1954" s="35">
        <f t="shared" si="72"/>
        <v>42679</v>
      </c>
      <c r="D1954" s="212" t="s">
        <v>899</v>
      </c>
      <c r="E1954" s="35">
        <v>42679</v>
      </c>
      <c r="F1954" s="144" t="s">
        <v>1588</v>
      </c>
      <c r="G1954" s="191"/>
      <c r="H1954" s="198"/>
      <c r="I1954" s="186"/>
      <c r="J1954" s="186"/>
      <c r="K1954" s="185"/>
      <c r="L1954" s="186"/>
      <c r="M1954" s="36">
        <v>3750000</v>
      </c>
      <c r="N1954" s="37"/>
      <c r="O1954" s="37" t="s">
        <v>34</v>
      </c>
      <c r="P1954" s="47" t="str">
        <f>IF(AND('331-CT'!$F$5=TH!H1954,OR(N1954="331",O1954="331")),"x","")</f>
        <v/>
      </c>
      <c r="Q1954" s="47" t="str">
        <f>IF(AND(B1954='111'!$L$11,OR($N1954=$Q$7,$O1954=$Q$7)),"x","")</f>
        <v>x</v>
      </c>
      <c r="R1954" s="47" t="str">
        <f>IF(AND($N1954=$Q$7,$B1954&lt;'111'!$L$11),"x","")</f>
        <v/>
      </c>
      <c r="S1954" s="47" t="str">
        <f>IF(AND($O1954=$Q$7,$B1954&lt;'111'!$L$11),"x","")</f>
        <v/>
      </c>
    </row>
    <row r="1955" spans="1:19" ht="15.75" customHeight="1">
      <c r="A1955" s="152" t="str">
        <f>IF(B1955&lt;&gt;"",IF(AND(B1955='IN-TC'!$S$4,OR(TH!N1955="1111",TH!O1955="1111")),TH!D1955,""),"")</f>
        <v/>
      </c>
      <c r="B1955" s="34">
        <f t="shared" si="71"/>
        <v>11</v>
      </c>
      <c r="C1955" s="35">
        <f t="shared" si="72"/>
        <v>42681</v>
      </c>
      <c r="D1955" s="212" t="s">
        <v>900</v>
      </c>
      <c r="E1955" s="35">
        <v>42681</v>
      </c>
      <c r="F1955" s="144" t="s">
        <v>203</v>
      </c>
      <c r="G1955" s="191"/>
      <c r="H1955" s="198" t="s">
        <v>1606</v>
      </c>
      <c r="I1955" s="186"/>
      <c r="J1955" s="186"/>
      <c r="K1955" s="185"/>
      <c r="L1955" s="186"/>
      <c r="M1955" s="36">
        <v>18000000</v>
      </c>
      <c r="N1955" s="37"/>
      <c r="O1955" s="37" t="s">
        <v>34</v>
      </c>
      <c r="P1955" s="47" t="str">
        <f>IF(AND('331-CT'!$F$5=TH!H1955,OR(N1955="331",O1955="331")),"x","")</f>
        <v/>
      </c>
      <c r="Q1955" s="47" t="str">
        <f>IF(AND(B1955='111'!$L$11,OR($N1955=$Q$7,$O1955=$Q$7)),"x","")</f>
        <v>x</v>
      </c>
      <c r="R1955" s="47" t="str">
        <f>IF(AND($N1955=$Q$7,$B1955&lt;'111'!$L$11),"x","")</f>
        <v/>
      </c>
      <c r="S1955" s="47" t="str">
        <f>IF(AND($O1955=$Q$7,$B1955&lt;'111'!$L$11),"x","")</f>
        <v/>
      </c>
    </row>
    <row r="1956" spans="1:19" ht="15.75" customHeight="1">
      <c r="A1956" s="152" t="str">
        <f>IF(B1956&lt;&gt;"",IF(AND(B1956='IN-TC'!$S$4,OR(TH!N1956="1111",TH!O1956="1111")),TH!D1956,""),"")</f>
        <v/>
      </c>
      <c r="B1956" s="34">
        <f t="shared" si="71"/>
        <v>11</v>
      </c>
      <c r="C1956" s="35">
        <f t="shared" si="72"/>
        <v>42681</v>
      </c>
      <c r="D1956" s="212" t="s">
        <v>901</v>
      </c>
      <c r="E1956" s="35">
        <v>42681</v>
      </c>
      <c r="F1956" s="144" t="s">
        <v>203</v>
      </c>
      <c r="G1956" s="191"/>
      <c r="H1956" s="198" t="s">
        <v>1607</v>
      </c>
      <c r="I1956" s="186"/>
      <c r="J1956" s="186"/>
      <c r="K1956" s="185"/>
      <c r="L1956" s="186"/>
      <c r="M1956" s="36">
        <v>16511000</v>
      </c>
      <c r="N1956" s="37"/>
      <c r="O1956" s="37" t="s">
        <v>34</v>
      </c>
      <c r="P1956" s="47" t="str">
        <f>IF(AND('331-CT'!$F$5=TH!H1956,OR(N1956="331",O1956="331")),"x","")</f>
        <v/>
      </c>
      <c r="Q1956" s="47" t="str">
        <f>IF(AND(B1956='111'!$L$11,OR($N1956=$Q$7,$O1956=$Q$7)),"x","")</f>
        <v>x</v>
      </c>
      <c r="R1956" s="47" t="str">
        <f>IF(AND($N1956=$Q$7,$B1956&lt;'111'!$L$11),"x","")</f>
        <v/>
      </c>
      <c r="S1956" s="47" t="str">
        <f>IF(AND($O1956=$Q$7,$B1956&lt;'111'!$L$11),"x","")</f>
        <v/>
      </c>
    </row>
    <row r="1957" spans="1:19" ht="15.75" customHeight="1">
      <c r="A1957" s="152" t="str">
        <f>IF(B1957&lt;&gt;"",IF(AND(B1957='IN-TC'!$S$4,OR(TH!N1957="1111",TH!O1957="1111")),TH!D1957,""),"")</f>
        <v/>
      </c>
      <c r="B1957" s="34">
        <f t="shared" si="71"/>
        <v>11</v>
      </c>
      <c r="C1957" s="35">
        <f t="shared" si="72"/>
        <v>42681</v>
      </c>
      <c r="D1957" s="212" t="s">
        <v>902</v>
      </c>
      <c r="E1957" s="35">
        <v>42681</v>
      </c>
      <c r="F1957" s="144" t="s">
        <v>1608</v>
      </c>
      <c r="G1957" s="191"/>
      <c r="H1957" s="198"/>
      <c r="I1957" s="186"/>
      <c r="J1957" s="186"/>
      <c r="K1957" s="185"/>
      <c r="L1957" s="186"/>
      <c r="M1957" s="36">
        <v>5459000</v>
      </c>
      <c r="N1957" s="37"/>
      <c r="O1957" s="37" t="s">
        <v>34</v>
      </c>
      <c r="P1957" s="47" t="str">
        <f>IF(AND('331-CT'!$F$5=TH!H1957,OR(N1957="331",O1957="331")),"x","")</f>
        <v/>
      </c>
      <c r="Q1957" s="47" t="str">
        <f>IF(AND(B1957='111'!$L$11,OR($N1957=$Q$7,$O1957=$Q$7)),"x","")</f>
        <v>x</v>
      </c>
      <c r="R1957" s="47" t="str">
        <f>IF(AND($N1957=$Q$7,$B1957&lt;'111'!$L$11),"x","")</f>
        <v/>
      </c>
      <c r="S1957" s="47" t="str">
        <f>IF(AND($O1957=$Q$7,$B1957&lt;'111'!$L$11),"x","")</f>
        <v/>
      </c>
    </row>
    <row r="1958" spans="1:19" ht="15.75" customHeight="1">
      <c r="A1958" s="152" t="str">
        <f>IF(B1958&lt;&gt;"",IF(AND(B1958='IN-TC'!$S$4,OR(TH!N1958="1111",TH!O1958="1111")),TH!D1958,""),"")</f>
        <v/>
      </c>
      <c r="B1958" s="34">
        <f t="shared" si="71"/>
        <v>11</v>
      </c>
      <c r="C1958" s="35">
        <f t="shared" si="72"/>
        <v>42681</v>
      </c>
      <c r="D1958" s="212" t="s">
        <v>903</v>
      </c>
      <c r="E1958" s="35">
        <v>42681</v>
      </c>
      <c r="F1958" s="144" t="s">
        <v>1609</v>
      </c>
      <c r="G1958" s="191"/>
      <c r="H1958" s="198"/>
      <c r="I1958" s="186"/>
      <c r="J1958" s="186"/>
      <c r="K1958" s="185"/>
      <c r="L1958" s="186"/>
      <c r="M1958" s="36">
        <v>841000</v>
      </c>
      <c r="N1958" s="37"/>
      <c r="O1958" s="37" t="s">
        <v>34</v>
      </c>
      <c r="P1958" s="47" t="str">
        <f>IF(AND('331-CT'!$F$5=TH!H1958,OR(N1958="331",O1958="331")),"x","")</f>
        <v/>
      </c>
      <c r="Q1958" s="47" t="str">
        <f>IF(AND(B1958='111'!$L$11,OR($N1958=$Q$7,$O1958=$Q$7)),"x","")</f>
        <v>x</v>
      </c>
      <c r="R1958" s="47" t="str">
        <f>IF(AND($N1958=$Q$7,$B1958&lt;'111'!$L$11),"x","")</f>
        <v/>
      </c>
      <c r="S1958" s="47" t="str">
        <f>IF(AND($O1958=$Q$7,$B1958&lt;'111'!$L$11),"x","")</f>
        <v/>
      </c>
    </row>
    <row r="1959" spans="1:19" ht="15.75" customHeight="1">
      <c r="A1959" s="152" t="str">
        <f>IF(B1959&lt;&gt;"",IF(AND(B1959='IN-TC'!$S$4,OR(TH!N1959="1111",TH!O1959="1111")),TH!D1959,""),"")</f>
        <v/>
      </c>
      <c r="B1959" s="34">
        <f t="shared" si="71"/>
        <v>11</v>
      </c>
      <c r="C1959" s="35">
        <f t="shared" si="72"/>
        <v>42681</v>
      </c>
      <c r="D1959" s="212" t="s">
        <v>904</v>
      </c>
      <c r="E1959" s="35">
        <v>42681</v>
      </c>
      <c r="F1959" s="144" t="s">
        <v>1610</v>
      </c>
      <c r="G1959" s="191"/>
      <c r="H1959" s="198"/>
      <c r="I1959" s="186"/>
      <c r="J1959" s="186"/>
      <c r="K1959" s="185"/>
      <c r="L1959" s="186"/>
      <c r="M1959" s="36">
        <v>1000000</v>
      </c>
      <c r="N1959" s="37"/>
      <c r="O1959" s="37" t="s">
        <v>34</v>
      </c>
      <c r="P1959" s="47" t="str">
        <f>IF(AND('331-CT'!$F$5=TH!H1959,OR(N1959="331",O1959="331")),"x","")</f>
        <v/>
      </c>
      <c r="Q1959" s="47" t="str">
        <f>IF(AND(B1959='111'!$L$11,OR($N1959=$Q$7,$O1959=$Q$7)),"x","")</f>
        <v>x</v>
      </c>
      <c r="R1959" s="47" t="str">
        <f>IF(AND($N1959=$Q$7,$B1959&lt;'111'!$L$11),"x","")</f>
        <v/>
      </c>
      <c r="S1959" s="47" t="str">
        <f>IF(AND($O1959=$Q$7,$B1959&lt;'111'!$L$11),"x","")</f>
        <v/>
      </c>
    </row>
    <row r="1960" spans="1:19" ht="15.75" customHeight="1">
      <c r="A1960" s="152" t="str">
        <f>IF(B1960&lt;&gt;"",IF(AND(B1960='IN-TC'!$S$4,OR(TH!N1960="1111",TH!O1960="1111")),TH!D1960,""),"")</f>
        <v/>
      </c>
      <c r="B1960" s="34">
        <f t="shared" si="71"/>
        <v>11</v>
      </c>
      <c r="C1960" s="35">
        <f t="shared" si="72"/>
        <v>42681</v>
      </c>
      <c r="D1960" s="212" t="s">
        <v>939</v>
      </c>
      <c r="E1960" s="35">
        <v>42681</v>
      </c>
      <c r="F1960" s="144" t="s">
        <v>1611</v>
      </c>
      <c r="G1960" s="191"/>
      <c r="H1960" s="198"/>
      <c r="I1960" s="186"/>
      <c r="J1960" s="186"/>
      <c r="K1960" s="185"/>
      <c r="L1960" s="186"/>
      <c r="M1960" s="36">
        <v>1000000</v>
      </c>
      <c r="N1960" s="37" t="s">
        <v>34</v>
      </c>
      <c r="O1960" s="37"/>
      <c r="P1960" s="47" t="str">
        <f>IF(AND('331-CT'!$F$5=TH!H1960,OR(N1960="331",O1960="331")),"x","")</f>
        <v/>
      </c>
      <c r="Q1960" s="47" t="str">
        <f>IF(AND(B1960='111'!$L$11,OR($N1960=$Q$7,$O1960=$Q$7)),"x","")</f>
        <v>x</v>
      </c>
      <c r="R1960" s="47" t="str">
        <f>IF(AND($N1960=$Q$7,$B1960&lt;'111'!$L$11),"x","")</f>
        <v/>
      </c>
      <c r="S1960" s="47" t="str">
        <f>IF(AND($O1960=$Q$7,$B1960&lt;'111'!$L$11),"x","")</f>
        <v/>
      </c>
    </row>
    <row r="1961" spans="1:19" ht="15.75" customHeight="1">
      <c r="A1961" s="152" t="str">
        <f>IF(B1961&lt;&gt;"",IF(AND(B1961='IN-TC'!$S$4,OR(TH!N1961="1111",TH!O1961="1111")),TH!D1961,""),"")</f>
        <v/>
      </c>
      <c r="B1961" s="34">
        <f t="shared" si="71"/>
        <v>11</v>
      </c>
      <c r="C1961" s="35">
        <f t="shared" si="72"/>
        <v>42681</v>
      </c>
      <c r="D1961" s="212" t="s">
        <v>905</v>
      </c>
      <c r="E1961" s="35">
        <v>42681</v>
      </c>
      <c r="F1961" s="144" t="s">
        <v>1070</v>
      </c>
      <c r="G1961" s="191"/>
      <c r="H1961" s="198"/>
      <c r="I1961" s="186"/>
      <c r="J1961" s="186"/>
      <c r="K1961" s="185"/>
      <c r="L1961" s="186"/>
      <c r="M1961" s="36">
        <v>1165000</v>
      </c>
      <c r="N1961" s="37"/>
      <c r="O1961" s="37" t="s">
        <v>34</v>
      </c>
      <c r="P1961" s="47" t="str">
        <f>IF(AND('331-CT'!$F$5=TH!H1961,OR(N1961="331",O1961="331")),"x","")</f>
        <v/>
      </c>
      <c r="Q1961" s="47" t="str">
        <f>IF(AND(B1961='111'!$L$11,OR($N1961=$Q$7,$O1961=$Q$7)),"x","")</f>
        <v>x</v>
      </c>
      <c r="R1961" s="47" t="str">
        <f>IF(AND($N1961=$Q$7,$B1961&lt;'111'!$L$11),"x","")</f>
        <v/>
      </c>
      <c r="S1961" s="47" t="str">
        <f>IF(AND($O1961=$Q$7,$B1961&lt;'111'!$L$11),"x","")</f>
        <v/>
      </c>
    </row>
    <row r="1962" spans="1:19" ht="15.75" customHeight="1">
      <c r="A1962" s="152" t="str">
        <f>IF(B1962&lt;&gt;"",IF(AND(B1962='IN-TC'!$S$4,OR(TH!N1962="1111",TH!O1962="1111")),TH!D1962,""),"")</f>
        <v/>
      </c>
      <c r="B1962" s="34">
        <f t="shared" si="71"/>
        <v>11</v>
      </c>
      <c r="C1962" s="35">
        <f t="shared" si="72"/>
        <v>42681</v>
      </c>
      <c r="D1962" s="212" t="s">
        <v>906</v>
      </c>
      <c r="E1962" s="35">
        <v>42681</v>
      </c>
      <c r="F1962" s="144" t="s">
        <v>1612</v>
      </c>
      <c r="G1962" s="191"/>
      <c r="H1962" s="198"/>
      <c r="I1962" s="186"/>
      <c r="J1962" s="186"/>
      <c r="K1962" s="185"/>
      <c r="L1962" s="186"/>
      <c r="M1962" s="36">
        <v>2000000</v>
      </c>
      <c r="N1962" s="37"/>
      <c r="O1962" s="37" t="s">
        <v>34</v>
      </c>
      <c r="P1962" s="47" t="str">
        <f>IF(AND('331-CT'!$F$5=TH!H1962,OR(N1962="331",O1962="331")),"x","")</f>
        <v/>
      </c>
      <c r="Q1962" s="47" t="str">
        <f>IF(AND(B1962='111'!$L$11,OR($N1962=$Q$7,$O1962=$Q$7)),"x","")</f>
        <v>x</v>
      </c>
      <c r="R1962" s="47" t="str">
        <f>IF(AND($N1962=$Q$7,$B1962&lt;'111'!$L$11),"x","")</f>
        <v/>
      </c>
      <c r="S1962" s="47" t="str">
        <f>IF(AND($O1962=$Q$7,$B1962&lt;'111'!$L$11),"x","")</f>
        <v/>
      </c>
    </row>
    <row r="1963" spans="1:19" ht="15.75" customHeight="1">
      <c r="A1963" s="152" t="str">
        <f>IF(B1963&lt;&gt;"",IF(AND(B1963='IN-TC'!$S$4,OR(TH!N1963="1111",TH!O1963="1111")),TH!D1963,""),"")</f>
        <v/>
      </c>
      <c r="B1963" s="34">
        <f t="shared" si="71"/>
        <v>11</v>
      </c>
      <c r="C1963" s="35">
        <f t="shared" si="72"/>
        <v>42681</v>
      </c>
      <c r="D1963" s="212" t="s">
        <v>907</v>
      </c>
      <c r="E1963" s="35">
        <v>42681</v>
      </c>
      <c r="F1963" s="144" t="s">
        <v>1613</v>
      </c>
      <c r="G1963" s="191"/>
      <c r="H1963" s="198"/>
      <c r="I1963" s="186"/>
      <c r="J1963" s="186"/>
      <c r="K1963" s="185"/>
      <c r="L1963" s="186"/>
      <c r="M1963" s="36">
        <v>350000</v>
      </c>
      <c r="N1963" s="37"/>
      <c r="O1963" s="37" t="s">
        <v>34</v>
      </c>
      <c r="P1963" s="47" t="str">
        <f>IF(AND('331-CT'!$F$5=TH!H1963,OR(N1963="331",O1963="331")),"x","")</f>
        <v/>
      </c>
      <c r="Q1963" s="47" t="str">
        <f>IF(AND(B1963='111'!$L$11,OR($N1963=$Q$7,$O1963=$Q$7)),"x","")</f>
        <v>x</v>
      </c>
      <c r="R1963" s="47" t="str">
        <f>IF(AND($N1963=$Q$7,$B1963&lt;'111'!$L$11),"x","")</f>
        <v/>
      </c>
      <c r="S1963" s="47" t="str">
        <f>IF(AND($O1963=$Q$7,$B1963&lt;'111'!$L$11),"x","")</f>
        <v/>
      </c>
    </row>
    <row r="1964" spans="1:19" ht="15.75" customHeight="1">
      <c r="A1964" s="152" t="str">
        <f>IF(B1964&lt;&gt;"",IF(AND(B1964='IN-TC'!$S$4,OR(TH!N1964="1111",TH!O1964="1111")),TH!D1964,""),"")</f>
        <v/>
      </c>
      <c r="B1964" s="34">
        <f t="shared" si="71"/>
        <v>11</v>
      </c>
      <c r="C1964" s="35">
        <f t="shared" si="72"/>
        <v>42681</v>
      </c>
      <c r="D1964" s="212" t="s">
        <v>908</v>
      </c>
      <c r="E1964" s="35">
        <v>42681</v>
      </c>
      <c r="F1964" s="144" t="s">
        <v>1614</v>
      </c>
      <c r="G1964" s="191"/>
      <c r="H1964" s="198"/>
      <c r="I1964" s="186"/>
      <c r="J1964" s="186"/>
      <c r="K1964" s="185"/>
      <c r="L1964" s="186"/>
      <c r="M1964" s="36">
        <v>500000</v>
      </c>
      <c r="N1964" s="37"/>
      <c r="O1964" s="37" t="s">
        <v>34</v>
      </c>
      <c r="P1964" s="47" t="str">
        <f>IF(AND('331-CT'!$F$5=TH!H1964,OR(N1964="331",O1964="331")),"x","")</f>
        <v/>
      </c>
      <c r="Q1964" s="47" t="str">
        <f>IF(AND(B1964='111'!$L$11,OR($N1964=$Q$7,$O1964=$Q$7)),"x","")</f>
        <v>x</v>
      </c>
      <c r="R1964" s="47" t="str">
        <f>IF(AND($N1964=$Q$7,$B1964&lt;'111'!$L$11),"x","")</f>
        <v/>
      </c>
      <c r="S1964" s="47" t="str">
        <f>IF(AND($O1964=$Q$7,$B1964&lt;'111'!$L$11),"x","")</f>
        <v/>
      </c>
    </row>
    <row r="1965" spans="1:19" ht="15.75" customHeight="1">
      <c r="A1965" s="152" t="str">
        <f>IF(B1965&lt;&gt;"",IF(AND(B1965='IN-TC'!$S$4,OR(TH!N1965="1111",TH!O1965="1111")),TH!D1965,""),"")</f>
        <v/>
      </c>
      <c r="B1965" s="34">
        <f t="shared" si="71"/>
        <v>11</v>
      </c>
      <c r="C1965" s="35">
        <f t="shared" si="72"/>
        <v>42682</v>
      </c>
      <c r="D1965" s="212" t="s">
        <v>909</v>
      </c>
      <c r="E1965" s="35">
        <v>42682</v>
      </c>
      <c r="F1965" s="144" t="s">
        <v>1615</v>
      </c>
      <c r="G1965" s="191"/>
      <c r="H1965" s="198"/>
      <c r="I1965" s="186"/>
      <c r="J1965" s="186"/>
      <c r="K1965" s="185"/>
      <c r="L1965" s="186"/>
      <c r="M1965" s="36">
        <v>5000000</v>
      </c>
      <c r="N1965" s="37"/>
      <c r="O1965" s="37" t="s">
        <v>34</v>
      </c>
      <c r="P1965" s="47" t="str">
        <f>IF(AND('331-CT'!$F$5=TH!H1965,OR(N1965="331",O1965="331")),"x","")</f>
        <v/>
      </c>
      <c r="Q1965" s="47" t="str">
        <f>IF(AND(B1965='111'!$L$11,OR($N1965=$Q$7,$O1965=$Q$7)),"x","")</f>
        <v>x</v>
      </c>
      <c r="R1965" s="47" t="str">
        <f>IF(AND($N1965=$Q$7,$B1965&lt;'111'!$L$11),"x","")</f>
        <v/>
      </c>
      <c r="S1965" s="47" t="str">
        <f>IF(AND($O1965=$Q$7,$B1965&lt;'111'!$L$11),"x","")</f>
        <v/>
      </c>
    </row>
    <row r="1966" spans="1:19" ht="15.75" customHeight="1">
      <c r="A1966" s="152" t="str">
        <f>IF(B1966&lt;&gt;"",IF(AND(B1966='IN-TC'!$S$4,OR(TH!N1966="1111",TH!O1966="1111")),TH!D1966,""),"")</f>
        <v/>
      </c>
      <c r="B1966" s="34">
        <f t="shared" si="71"/>
        <v>11</v>
      </c>
      <c r="C1966" s="35">
        <f t="shared" si="72"/>
        <v>42682</v>
      </c>
      <c r="D1966" s="212" t="s">
        <v>910</v>
      </c>
      <c r="E1966" s="35">
        <v>42682</v>
      </c>
      <c r="F1966" s="144" t="s">
        <v>1346</v>
      </c>
      <c r="G1966" s="191" t="s">
        <v>207</v>
      </c>
      <c r="H1966" s="198"/>
      <c r="I1966" s="186"/>
      <c r="J1966" s="186"/>
      <c r="K1966" s="185"/>
      <c r="L1966" s="186"/>
      <c r="M1966" s="36">
        <v>500000</v>
      </c>
      <c r="N1966" s="37"/>
      <c r="O1966" s="37" t="s">
        <v>34</v>
      </c>
      <c r="P1966" s="47" t="str">
        <f>IF(AND('331-CT'!$F$5=TH!H1966,OR(N1966="331",O1966="331")),"x","")</f>
        <v/>
      </c>
      <c r="Q1966" s="47" t="str">
        <f>IF(AND(B1966='111'!$L$11,OR($N1966=$Q$7,$O1966=$Q$7)),"x","")</f>
        <v>x</v>
      </c>
      <c r="R1966" s="47" t="str">
        <f>IF(AND($N1966=$Q$7,$B1966&lt;'111'!$L$11),"x","")</f>
        <v/>
      </c>
      <c r="S1966" s="47" t="str">
        <f>IF(AND($O1966=$Q$7,$B1966&lt;'111'!$L$11),"x","")</f>
        <v/>
      </c>
    </row>
    <row r="1967" spans="1:19" ht="15.75" customHeight="1">
      <c r="A1967" s="152" t="str">
        <f>IF(B1967&lt;&gt;"",IF(AND(B1967='IN-TC'!$S$4,OR(TH!N1967="1111",TH!O1967="1111")),TH!D1967,""),"")</f>
        <v/>
      </c>
      <c r="B1967" s="34">
        <f t="shared" si="71"/>
        <v>11</v>
      </c>
      <c r="C1967" s="35">
        <f t="shared" si="72"/>
        <v>42682</v>
      </c>
      <c r="D1967" s="212" t="s">
        <v>911</v>
      </c>
      <c r="E1967" s="35">
        <v>42682</v>
      </c>
      <c r="F1967" s="144" t="s">
        <v>258</v>
      </c>
      <c r="G1967" s="191"/>
      <c r="H1967" s="198"/>
      <c r="I1967" s="186"/>
      <c r="J1967" s="186"/>
      <c r="K1967" s="185"/>
      <c r="L1967" s="186"/>
      <c r="M1967" s="36">
        <v>3552000</v>
      </c>
      <c r="N1967" s="37"/>
      <c r="O1967" s="37" t="s">
        <v>34</v>
      </c>
      <c r="P1967" s="47" t="str">
        <f>IF(AND('331-CT'!$F$5=TH!H1967,OR(N1967="331",O1967="331")),"x","")</f>
        <v/>
      </c>
      <c r="Q1967" s="47" t="str">
        <f>IF(AND(B1967='111'!$L$11,OR($N1967=$Q$7,$O1967=$Q$7)),"x","")</f>
        <v>x</v>
      </c>
      <c r="R1967" s="47" t="str">
        <f>IF(AND($N1967=$Q$7,$B1967&lt;'111'!$L$11),"x","")</f>
        <v/>
      </c>
      <c r="S1967" s="47" t="str">
        <f>IF(AND($O1967=$Q$7,$B1967&lt;'111'!$L$11),"x","")</f>
        <v/>
      </c>
    </row>
    <row r="1968" spans="1:19" ht="15.75" customHeight="1">
      <c r="A1968" s="152" t="str">
        <f>IF(B1968&lt;&gt;"",IF(AND(B1968='IN-TC'!$S$4,OR(TH!N1968="1111",TH!O1968="1111")),TH!D1968,""),"")</f>
        <v/>
      </c>
      <c r="B1968" s="34">
        <f t="shared" si="71"/>
        <v>11</v>
      </c>
      <c r="C1968" s="35">
        <f t="shared" si="72"/>
        <v>42683</v>
      </c>
      <c r="D1968" s="212" t="s">
        <v>912</v>
      </c>
      <c r="E1968" s="35">
        <v>42683</v>
      </c>
      <c r="F1968" s="144" t="s">
        <v>1616</v>
      </c>
      <c r="G1968" s="191"/>
      <c r="H1968" s="198"/>
      <c r="I1968" s="186"/>
      <c r="J1968" s="186"/>
      <c r="K1968" s="185"/>
      <c r="L1968" s="186"/>
      <c r="M1968" s="36">
        <v>15000000</v>
      </c>
      <c r="N1968" s="37"/>
      <c r="O1968" s="37" t="s">
        <v>34</v>
      </c>
      <c r="P1968" s="47" t="str">
        <f>IF(AND('331-CT'!$F$5=TH!H1968,OR(N1968="331",O1968="331")),"x","")</f>
        <v/>
      </c>
      <c r="Q1968" s="47" t="str">
        <f>IF(AND(B1968='111'!$L$11,OR($N1968=$Q$7,$O1968=$Q$7)),"x","")</f>
        <v>x</v>
      </c>
      <c r="R1968" s="47" t="str">
        <f>IF(AND($N1968=$Q$7,$B1968&lt;'111'!$L$11),"x","")</f>
        <v/>
      </c>
      <c r="S1968" s="47" t="str">
        <f>IF(AND($O1968=$Q$7,$B1968&lt;'111'!$L$11),"x","")</f>
        <v/>
      </c>
    </row>
    <row r="1969" spans="1:19" ht="15.75" customHeight="1">
      <c r="A1969" s="152" t="str">
        <f>IF(B1969&lt;&gt;"",IF(AND(B1969='IN-TC'!$S$4,OR(TH!N1969="1111",TH!O1969="1111")),TH!D1969,""),"")</f>
        <v/>
      </c>
      <c r="B1969" s="34">
        <f t="shared" si="71"/>
        <v>11</v>
      </c>
      <c r="C1969" s="35">
        <f t="shared" si="72"/>
        <v>42683</v>
      </c>
      <c r="D1969" s="212" t="s">
        <v>913</v>
      </c>
      <c r="E1969" s="35">
        <v>42683</v>
      </c>
      <c r="F1969" s="144" t="s">
        <v>1333</v>
      </c>
      <c r="G1969" s="191"/>
      <c r="H1969" s="198"/>
      <c r="I1969" s="186"/>
      <c r="J1969" s="186"/>
      <c r="K1969" s="185"/>
      <c r="L1969" s="186"/>
      <c r="M1969" s="36">
        <v>10435000</v>
      </c>
      <c r="N1969" s="37"/>
      <c r="O1969" s="37" t="s">
        <v>34</v>
      </c>
      <c r="P1969" s="47" t="str">
        <f>IF(AND('331-CT'!$F$5=TH!H1969,OR(N1969="331",O1969="331")),"x","")</f>
        <v/>
      </c>
      <c r="Q1969" s="47" t="str">
        <f>IF(AND(B1969='111'!$L$11,OR($N1969=$Q$7,$O1969=$Q$7)),"x","")</f>
        <v>x</v>
      </c>
      <c r="R1969" s="47" t="str">
        <f>IF(AND($N1969=$Q$7,$B1969&lt;'111'!$L$11),"x","")</f>
        <v/>
      </c>
      <c r="S1969" s="47" t="str">
        <f>IF(AND($O1969=$Q$7,$B1969&lt;'111'!$L$11),"x","")</f>
        <v/>
      </c>
    </row>
    <row r="1970" spans="1:19" ht="15.75" customHeight="1">
      <c r="A1970" s="152" t="str">
        <f>IF(B1970&lt;&gt;"",IF(AND(B1970='IN-TC'!$S$4,OR(TH!N1970="1111",TH!O1970="1111")),TH!D1970,""),"")</f>
        <v/>
      </c>
      <c r="B1970" s="34">
        <f t="shared" si="71"/>
        <v>11</v>
      </c>
      <c r="C1970" s="35">
        <f t="shared" si="72"/>
        <v>42683</v>
      </c>
      <c r="D1970" s="212" t="s">
        <v>914</v>
      </c>
      <c r="E1970" s="35">
        <v>42683</v>
      </c>
      <c r="F1970" s="144" t="s">
        <v>1617</v>
      </c>
      <c r="G1970" s="191"/>
      <c r="H1970" s="198"/>
      <c r="I1970" s="186"/>
      <c r="J1970" s="186"/>
      <c r="K1970" s="185"/>
      <c r="L1970" s="186"/>
      <c r="M1970" s="36">
        <v>1000000</v>
      </c>
      <c r="N1970" s="37"/>
      <c r="O1970" s="37" t="s">
        <v>34</v>
      </c>
      <c r="P1970" s="47" t="str">
        <f>IF(AND('331-CT'!$F$5=TH!H1970,OR(N1970="331",O1970="331")),"x","")</f>
        <v/>
      </c>
      <c r="Q1970" s="47" t="str">
        <f>IF(AND(B1970='111'!$L$11,OR($N1970=$Q$7,$O1970=$Q$7)),"x","")</f>
        <v>x</v>
      </c>
      <c r="R1970" s="47" t="str">
        <f>IF(AND($N1970=$Q$7,$B1970&lt;'111'!$L$11),"x","")</f>
        <v/>
      </c>
      <c r="S1970" s="47" t="str">
        <f>IF(AND($O1970=$Q$7,$B1970&lt;'111'!$L$11),"x","")</f>
        <v/>
      </c>
    </row>
    <row r="1971" spans="1:19" ht="15.75" customHeight="1">
      <c r="A1971" s="152" t="str">
        <f>IF(B1971&lt;&gt;"",IF(AND(B1971='IN-TC'!$S$4,OR(TH!N1971="1111",TH!O1971="1111")),TH!D1971,""),"")</f>
        <v/>
      </c>
      <c r="B1971" s="34">
        <f t="shared" si="71"/>
        <v>11</v>
      </c>
      <c r="C1971" s="35">
        <f t="shared" si="72"/>
        <v>42683</v>
      </c>
      <c r="D1971" s="212" t="s">
        <v>930</v>
      </c>
      <c r="E1971" s="35">
        <v>42683</v>
      </c>
      <c r="F1971" s="144" t="s">
        <v>1618</v>
      </c>
      <c r="G1971" s="191"/>
      <c r="H1971" s="198"/>
      <c r="I1971" s="186"/>
      <c r="J1971" s="186"/>
      <c r="K1971" s="185"/>
      <c r="L1971" s="186"/>
      <c r="M1971" s="36">
        <v>3000000</v>
      </c>
      <c r="N1971" s="37" t="s">
        <v>34</v>
      </c>
      <c r="O1971" s="37"/>
      <c r="P1971" s="47" t="str">
        <f>IF(AND('331-CT'!$F$5=TH!H1971,OR(N1971="331",O1971="331")),"x","")</f>
        <v/>
      </c>
      <c r="Q1971" s="47" t="str">
        <f>IF(AND(B1971='111'!$L$11,OR($N1971=$Q$7,$O1971=$Q$7)),"x","")</f>
        <v>x</v>
      </c>
      <c r="R1971" s="47" t="str">
        <f>IF(AND($N1971=$Q$7,$B1971&lt;'111'!$L$11),"x","")</f>
        <v/>
      </c>
      <c r="S1971" s="47" t="str">
        <f>IF(AND($O1971=$Q$7,$B1971&lt;'111'!$L$11),"x","")</f>
        <v/>
      </c>
    </row>
    <row r="1972" spans="1:19" ht="15.75" customHeight="1">
      <c r="A1972" s="152" t="str">
        <f>IF(B1972&lt;&gt;"",IF(AND(B1972='IN-TC'!$S$4,OR(TH!N1972="1111",TH!O1972="1111")),TH!D1972,""),"")</f>
        <v/>
      </c>
      <c r="B1972" s="34">
        <f t="shared" si="71"/>
        <v>11</v>
      </c>
      <c r="C1972" s="35">
        <f t="shared" si="72"/>
        <v>42683</v>
      </c>
      <c r="D1972" s="212" t="s">
        <v>915</v>
      </c>
      <c r="E1972" s="35">
        <v>42683</v>
      </c>
      <c r="F1972" s="144" t="s">
        <v>1619</v>
      </c>
      <c r="G1972" s="191"/>
      <c r="H1972" s="198"/>
      <c r="I1972" s="186"/>
      <c r="J1972" s="186"/>
      <c r="K1972" s="185"/>
      <c r="L1972" s="186"/>
      <c r="M1972" s="36">
        <v>5492000</v>
      </c>
      <c r="N1972" s="37"/>
      <c r="O1972" s="37" t="s">
        <v>34</v>
      </c>
      <c r="P1972" s="47" t="str">
        <f>IF(AND('331-CT'!$F$5=TH!H1972,OR(N1972="331",O1972="331")),"x","")</f>
        <v/>
      </c>
      <c r="Q1972" s="47" t="str">
        <f>IF(AND(B1972='111'!$L$11,OR($N1972=$Q$7,$O1972=$Q$7)),"x","")</f>
        <v>x</v>
      </c>
      <c r="R1972" s="47" t="str">
        <f>IF(AND($N1972=$Q$7,$B1972&lt;'111'!$L$11),"x","")</f>
        <v/>
      </c>
      <c r="S1972" s="47" t="str">
        <f>IF(AND($O1972=$Q$7,$B1972&lt;'111'!$L$11),"x","")</f>
        <v/>
      </c>
    </row>
    <row r="1973" spans="1:19" ht="15.75" customHeight="1">
      <c r="A1973" s="152" t="str">
        <f>IF(B1973&lt;&gt;"",IF(AND(B1973='IN-TC'!$S$4,OR(TH!N1973="1111",TH!O1973="1111")),TH!D1973,""),"")</f>
        <v/>
      </c>
      <c r="B1973" s="34">
        <f t="shared" si="71"/>
        <v>11</v>
      </c>
      <c r="C1973" s="35">
        <f t="shared" si="72"/>
        <v>42683</v>
      </c>
      <c r="D1973" s="212" t="s">
        <v>1012</v>
      </c>
      <c r="E1973" s="35">
        <v>42683</v>
      </c>
      <c r="F1973" s="144" t="s">
        <v>1620</v>
      </c>
      <c r="G1973" s="191"/>
      <c r="H1973" s="198"/>
      <c r="I1973" s="186"/>
      <c r="J1973" s="186"/>
      <c r="K1973" s="185"/>
      <c r="L1973" s="186"/>
      <c r="M1973" s="36">
        <v>1385000</v>
      </c>
      <c r="N1973" s="37" t="s">
        <v>34</v>
      </c>
      <c r="O1973" s="37"/>
      <c r="P1973" s="47" t="str">
        <f>IF(AND('331-CT'!$F$5=TH!H1973,OR(N1973="331",O1973="331")),"x","")</f>
        <v/>
      </c>
      <c r="Q1973" s="47" t="str">
        <f>IF(AND(B1973='111'!$L$11,OR($N1973=$Q$7,$O1973=$Q$7)),"x","")</f>
        <v>x</v>
      </c>
      <c r="R1973" s="47" t="str">
        <f>IF(AND($N1973=$Q$7,$B1973&lt;'111'!$L$11),"x","")</f>
        <v/>
      </c>
      <c r="S1973" s="47" t="str">
        <f>IF(AND($O1973=$Q$7,$B1973&lt;'111'!$L$11),"x","")</f>
        <v/>
      </c>
    </row>
    <row r="1974" spans="1:19" ht="15.75" customHeight="1">
      <c r="A1974" s="152" t="str">
        <f>IF(B1974&lt;&gt;"",IF(AND(B1974='IN-TC'!$S$4,OR(TH!N1974="1111",TH!O1974="1111")),TH!D1974,""),"")</f>
        <v/>
      </c>
      <c r="B1974" s="34">
        <f t="shared" si="71"/>
        <v>11</v>
      </c>
      <c r="C1974" s="35">
        <f t="shared" si="72"/>
        <v>42683</v>
      </c>
      <c r="D1974" s="212" t="s">
        <v>916</v>
      </c>
      <c r="E1974" s="35">
        <v>42683</v>
      </c>
      <c r="F1974" s="144" t="s">
        <v>1621</v>
      </c>
      <c r="G1974" s="191"/>
      <c r="H1974" s="198"/>
      <c r="I1974" s="186"/>
      <c r="J1974" s="186"/>
      <c r="K1974" s="185"/>
      <c r="L1974" s="186"/>
      <c r="M1974" s="36">
        <v>350000</v>
      </c>
      <c r="N1974" s="37"/>
      <c r="O1974" s="37" t="s">
        <v>34</v>
      </c>
      <c r="P1974" s="47" t="str">
        <f>IF(AND('331-CT'!$F$5=TH!H1974,OR(N1974="331",O1974="331")),"x","")</f>
        <v/>
      </c>
      <c r="Q1974" s="47" t="str">
        <f>IF(AND(B1974='111'!$L$11,OR($N1974=$Q$7,$O1974=$Q$7)),"x","")</f>
        <v>x</v>
      </c>
      <c r="R1974" s="47" t="str">
        <f>IF(AND($N1974=$Q$7,$B1974&lt;'111'!$L$11),"x","")</f>
        <v/>
      </c>
      <c r="S1974" s="47" t="str">
        <f>IF(AND($O1974=$Q$7,$B1974&lt;'111'!$L$11),"x","")</f>
        <v/>
      </c>
    </row>
    <row r="1975" spans="1:19" ht="15.75" customHeight="1">
      <c r="A1975" s="152" t="str">
        <f>IF(B1975&lt;&gt;"",IF(AND(B1975='IN-TC'!$S$4,OR(TH!N1975="1111",TH!O1975="1111")),TH!D1975,""),"")</f>
        <v/>
      </c>
      <c r="B1975" s="34">
        <f t="shared" si="71"/>
        <v>11</v>
      </c>
      <c r="C1975" s="35">
        <f t="shared" si="72"/>
        <v>42684</v>
      </c>
      <c r="D1975" s="212" t="s">
        <v>1013</v>
      </c>
      <c r="E1975" s="35">
        <v>42684</v>
      </c>
      <c r="F1975" s="144" t="s">
        <v>1622</v>
      </c>
      <c r="G1975" s="191"/>
      <c r="H1975" s="198"/>
      <c r="I1975" s="186"/>
      <c r="J1975" s="186"/>
      <c r="K1975" s="185"/>
      <c r="L1975" s="186"/>
      <c r="M1975" s="36">
        <v>1400000000</v>
      </c>
      <c r="N1975" s="37" t="s">
        <v>34</v>
      </c>
      <c r="O1975" s="37"/>
      <c r="P1975" s="47" t="str">
        <f>IF(AND('331-CT'!$F$5=TH!H1975,OR(N1975="331",O1975="331")),"x","")</f>
        <v/>
      </c>
      <c r="Q1975" s="47" t="str">
        <f>IF(AND(B1975='111'!$L$11,OR($N1975=$Q$7,$O1975=$Q$7)),"x","")</f>
        <v>x</v>
      </c>
      <c r="R1975" s="47" t="str">
        <f>IF(AND($N1975=$Q$7,$B1975&lt;'111'!$L$11),"x","")</f>
        <v/>
      </c>
      <c r="S1975" s="47" t="str">
        <f>IF(AND($O1975=$Q$7,$B1975&lt;'111'!$L$11),"x","")</f>
        <v/>
      </c>
    </row>
    <row r="1976" spans="1:19" ht="15.75" customHeight="1">
      <c r="A1976" s="152" t="str">
        <f>IF(B1976&lt;&gt;"",IF(AND(B1976='IN-TC'!$S$4,OR(TH!N1976="1111",TH!O1976="1111")),TH!D1976,""),"")</f>
        <v/>
      </c>
      <c r="B1976" s="34">
        <f t="shared" si="71"/>
        <v>11</v>
      </c>
      <c r="C1976" s="35">
        <f t="shared" si="72"/>
        <v>42684</v>
      </c>
      <c r="D1976" s="212" t="s">
        <v>917</v>
      </c>
      <c r="E1976" s="35">
        <v>42684</v>
      </c>
      <c r="F1976" s="144" t="s">
        <v>1623</v>
      </c>
      <c r="G1976" s="191"/>
      <c r="H1976" s="7" t="s">
        <v>829</v>
      </c>
      <c r="I1976" s="186"/>
      <c r="J1976" s="186"/>
      <c r="K1976" s="185"/>
      <c r="L1976" s="186"/>
      <c r="M1976" s="36">
        <v>175135000</v>
      </c>
      <c r="N1976" s="37" t="s">
        <v>8</v>
      </c>
      <c r="O1976" s="37" t="s">
        <v>34</v>
      </c>
      <c r="P1976" s="47" t="str">
        <f>IF(AND('331-CT'!$F$5=TH!H1976,OR(N1976="331",O1976="331")),"x","")</f>
        <v/>
      </c>
      <c r="Q1976" s="47" t="str">
        <f>IF(AND(B1976='111'!$L$11,OR($N1976=$Q$7,$O1976=$Q$7)),"x","")</f>
        <v>x</v>
      </c>
      <c r="R1976" s="47" t="str">
        <f>IF(AND($N1976=$Q$7,$B1976&lt;'111'!$L$11),"x","")</f>
        <v/>
      </c>
      <c r="S1976" s="47" t="str">
        <f>IF(AND($O1976=$Q$7,$B1976&lt;'111'!$L$11),"x","")</f>
        <v/>
      </c>
    </row>
    <row r="1977" spans="1:19" ht="15.75" customHeight="1">
      <c r="A1977" s="152" t="str">
        <f>IF(B1977&lt;&gt;"",IF(AND(B1977='IN-TC'!$S$4,OR(TH!N1977="1111",TH!O1977="1111")),TH!D1977,""),"")</f>
        <v/>
      </c>
      <c r="B1977" s="34">
        <f t="shared" si="71"/>
        <v>11</v>
      </c>
      <c r="C1977" s="35">
        <f t="shared" si="72"/>
        <v>42684</v>
      </c>
      <c r="D1977" s="212" t="s">
        <v>918</v>
      </c>
      <c r="E1977" s="35">
        <v>42684</v>
      </c>
      <c r="F1977" s="144" t="s">
        <v>1625</v>
      </c>
      <c r="G1977" s="191" t="s">
        <v>204</v>
      </c>
      <c r="H1977" s="198"/>
      <c r="I1977" s="186"/>
      <c r="J1977" s="186"/>
      <c r="K1977" s="185"/>
      <c r="L1977" s="186"/>
      <c r="M1977" s="36">
        <v>490000</v>
      </c>
      <c r="N1977" s="37"/>
      <c r="O1977" s="37" t="s">
        <v>34</v>
      </c>
      <c r="P1977" s="47" t="str">
        <f>IF(AND('331-CT'!$F$5=TH!H1977,OR(N1977="331",O1977="331")),"x","")</f>
        <v/>
      </c>
      <c r="Q1977" s="47" t="str">
        <f>IF(AND(B1977='111'!$L$11,OR($N1977=$Q$7,$O1977=$Q$7)),"x","")</f>
        <v>x</v>
      </c>
      <c r="R1977" s="47" t="str">
        <f>IF(AND($N1977=$Q$7,$B1977&lt;'111'!$L$11),"x","")</f>
        <v/>
      </c>
      <c r="S1977" s="47" t="str">
        <f>IF(AND($O1977=$Q$7,$B1977&lt;'111'!$L$11),"x","")</f>
        <v/>
      </c>
    </row>
    <row r="1978" spans="1:19" ht="15.75" customHeight="1">
      <c r="A1978" s="152" t="str">
        <f>IF(B1978&lt;&gt;"",IF(AND(B1978='IN-TC'!$S$4,OR(TH!N1978="1111",TH!O1978="1111")),TH!D1978,""),"")</f>
        <v/>
      </c>
      <c r="B1978" s="34">
        <f t="shared" si="71"/>
        <v>11</v>
      </c>
      <c r="C1978" s="35">
        <f t="shared" si="72"/>
        <v>42684</v>
      </c>
      <c r="D1978" s="212" t="s">
        <v>919</v>
      </c>
      <c r="E1978" s="35">
        <v>42684</v>
      </c>
      <c r="F1978" s="144" t="s">
        <v>671</v>
      </c>
      <c r="G1978" s="191" t="s">
        <v>207</v>
      </c>
      <c r="H1978" s="198"/>
      <c r="I1978" s="186"/>
      <c r="J1978" s="186"/>
      <c r="K1978" s="185"/>
      <c r="L1978" s="186"/>
      <c r="M1978" s="36">
        <v>500000</v>
      </c>
      <c r="N1978" s="37"/>
      <c r="O1978" s="37" t="s">
        <v>34</v>
      </c>
      <c r="P1978" s="47" t="str">
        <f>IF(AND('331-CT'!$F$5=TH!H1978,OR(N1978="331",O1978="331")),"x","")</f>
        <v/>
      </c>
      <c r="Q1978" s="47" t="str">
        <f>IF(AND(B1978='111'!$L$11,OR($N1978=$Q$7,$O1978=$Q$7)),"x","")</f>
        <v>x</v>
      </c>
      <c r="R1978" s="47" t="str">
        <f>IF(AND($N1978=$Q$7,$B1978&lt;'111'!$L$11),"x","")</f>
        <v/>
      </c>
      <c r="S1978" s="47" t="str">
        <f>IF(AND($O1978=$Q$7,$B1978&lt;'111'!$L$11),"x","")</f>
        <v/>
      </c>
    </row>
    <row r="1979" spans="1:19" ht="15.75" customHeight="1">
      <c r="A1979" s="152" t="str">
        <f>IF(B1979&lt;&gt;"",IF(AND(B1979='IN-TC'!$S$4,OR(TH!N1979="1111",TH!O1979="1111")),TH!D1979,""),"")</f>
        <v/>
      </c>
      <c r="B1979" s="34">
        <f t="shared" si="71"/>
        <v>11</v>
      </c>
      <c r="C1979" s="35">
        <f t="shared" si="72"/>
        <v>42685</v>
      </c>
      <c r="D1979" s="212" t="s">
        <v>1014</v>
      </c>
      <c r="E1979" s="35">
        <v>42685</v>
      </c>
      <c r="F1979" s="144" t="s">
        <v>1191</v>
      </c>
      <c r="G1979" s="191"/>
      <c r="H1979" s="198"/>
      <c r="I1979" s="186"/>
      <c r="J1979" s="186"/>
      <c r="K1979" s="185"/>
      <c r="L1979" s="186"/>
      <c r="M1979" s="36">
        <v>1850000000</v>
      </c>
      <c r="N1979" s="37" t="s">
        <v>34</v>
      </c>
      <c r="O1979" s="37"/>
      <c r="P1979" s="47" t="str">
        <f>IF(AND('331-CT'!$F$5=TH!H1979,OR(N1979="331",O1979="331")),"x","")</f>
        <v/>
      </c>
      <c r="Q1979" s="47" t="str">
        <f>IF(AND(B1979='111'!$L$11,OR($N1979=$Q$7,$O1979=$Q$7)),"x","")</f>
        <v>x</v>
      </c>
      <c r="R1979" s="47" t="str">
        <f>IF(AND($N1979=$Q$7,$B1979&lt;'111'!$L$11),"x","")</f>
        <v/>
      </c>
      <c r="S1979" s="47" t="str">
        <f>IF(AND($O1979=$Q$7,$B1979&lt;'111'!$L$11),"x","")</f>
        <v/>
      </c>
    </row>
    <row r="1980" spans="1:19" ht="15.75" customHeight="1">
      <c r="A1980" s="152" t="str">
        <f>IF(B1980&lt;&gt;"",IF(AND(B1980='IN-TC'!$S$4,OR(TH!N1980="1111",TH!O1980="1111")),TH!D1980,""),"")</f>
        <v/>
      </c>
      <c r="B1980" s="34">
        <f t="shared" si="71"/>
        <v>11</v>
      </c>
      <c r="C1980" s="35">
        <f t="shared" si="72"/>
        <v>42685</v>
      </c>
      <c r="D1980" s="212" t="s">
        <v>920</v>
      </c>
      <c r="E1980" s="35">
        <v>42685</v>
      </c>
      <c r="F1980" s="144" t="s">
        <v>850</v>
      </c>
      <c r="G1980" s="191"/>
      <c r="H1980" s="7" t="s">
        <v>1393</v>
      </c>
      <c r="I1980" s="186"/>
      <c r="J1980" s="186"/>
      <c r="K1980" s="185"/>
      <c r="L1980" s="186"/>
      <c r="M1980" s="36">
        <v>150000000</v>
      </c>
      <c r="N1980" s="37" t="s">
        <v>8</v>
      </c>
      <c r="O1980" s="37" t="s">
        <v>34</v>
      </c>
      <c r="P1980" s="47" t="str">
        <f>IF(AND('331-CT'!$F$5=TH!H1980,OR(N1980="331",O1980="331")),"x","")</f>
        <v>x</v>
      </c>
      <c r="Q1980" s="47" t="str">
        <f>IF(AND(B1980='111'!$L$11,OR($N1980=$Q$7,$O1980=$Q$7)),"x","")</f>
        <v>x</v>
      </c>
      <c r="R1980" s="47" t="str">
        <f>IF(AND($N1980=$Q$7,$B1980&lt;'111'!$L$11),"x","")</f>
        <v/>
      </c>
      <c r="S1980" s="47" t="str">
        <f>IF(AND($O1980=$Q$7,$B1980&lt;'111'!$L$11),"x","")</f>
        <v/>
      </c>
    </row>
    <row r="1981" spans="1:19" ht="15.75" customHeight="1">
      <c r="A1981" s="152" t="str">
        <f>IF(B1981&lt;&gt;"",IF(AND(B1981='IN-TC'!$S$4,OR(TH!N1981="1111",TH!O1981="1111")),TH!D1981,""),"")</f>
        <v/>
      </c>
      <c r="B1981" s="34">
        <f t="shared" si="71"/>
        <v>11</v>
      </c>
      <c r="C1981" s="35">
        <f t="shared" si="72"/>
        <v>42685</v>
      </c>
      <c r="D1981" s="212" t="s">
        <v>921</v>
      </c>
      <c r="E1981" s="35">
        <v>42685</v>
      </c>
      <c r="F1981" s="144" t="s">
        <v>1624</v>
      </c>
      <c r="G1981" s="191"/>
      <c r="H1981" s="198"/>
      <c r="I1981" s="186"/>
      <c r="J1981" s="186"/>
      <c r="K1981" s="185"/>
      <c r="L1981" s="186"/>
      <c r="M1981" s="36">
        <v>2622649000</v>
      </c>
      <c r="N1981" s="37"/>
      <c r="O1981" s="37" t="s">
        <v>34</v>
      </c>
      <c r="P1981" s="47" t="str">
        <f>IF(AND('331-CT'!$F$5=TH!H1981,OR(N1981="331",O1981="331")),"x","")</f>
        <v/>
      </c>
      <c r="Q1981" s="47" t="str">
        <f>IF(AND(B1981='111'!$L$11,OR($N1981=$Q$7,$O1981=$Q$7)),"x","")</f>
        <v>x</v>
      </c>
      <c r="R1981" s="47" t="str">
        <f>IF(AND($N1981=$Q$7,$B1981&lt;'111'!$L$11),"x","")</f>
        <v/>
      </c>
      <c r="S1981" s="47" t="str">
        <f>IF(AND($O1981=$Q$7,$B1981&lt;'111'!$L$11),"x","")</f>
        <v/>
      </c>
    </row>
    <row r="1982" spans="1:19" ht="15.75" customHeight="1">
      <c r="A1982" s="152" t="str">
        <f>IF(B1982&lt;&gt;"",IF(AND(B1982='IN-TC'!$S$4,OR(TH!N1982="1111",TH!O1982="1111")),TH!D1982,""),"")</f>
        <v/>
      </c>
      <c r="B1982" s="34">
        <f t="shared" si="71"/>
        <v>11</v>
      </c>
      <c r="C1982" s="35">
        <f t="shared" si="72"/>
        <v>42685</v>
      </c>
      <c r="D1982" s="212" t="s">
        <v>922</v>
      </c>
      <c r="E1982" s="35">
        <v>42685</v>
      </c>
      <c r="F1982" s="144" t="s">
        <v>1626</v>
      </c>
      <c r="G1982" s="191"/>
      <c r="H1982" s="198"/>
      <c r="I1982" s="186"/>
      <c r="J1982" s="186"/>
      <c r="K1982" s="185"/>
      <c r="L1982" s="186"/>
      <c r="M1982" s="36">
        <v>500000</v>
      </c>
      <c r="N1982" s="37"/>
      <c r="O1982" s="37" t="s">
        <v>34</v>
      </c>
      <c r="P1982" s="47" t="str">
        <f>IF(AND('331-CT'!$F$5=TH!H1982,OR(N1982="331",O1982="331")),"x","")</f>
        <v/>
      </c>
      <c r="Q1982" s="47" t="str">
        <f>IF(AND(B1982='111'!$L$11,OR($N1982=$Q$7,$O1982=$Q$7)),"x","")</f>
        <v>x</v>
      </c>
      <c r="R1982" s="47" t="str">
        <f>IF(AND($N1982=$Q$7,$B1982&lt;'111'!$L$11),"x","")</f>
        <v/>
      </c>
      <c r="S1982" s="47" t="str">
        <f>IF(AND($O1982=$Q$7,$B1982&lt;'111'!$L$11),"x","")</f>
        <v/>
      </c>
    </row>
    <row r="1983" spans="1:19" ht="15.75" customHeight="1">
      <c r="A1983" s="152" t="str">
        <f>IF(B1983&lt;&gt;"",IF(AND(B1983='IN-TC'!$S$4,OR(TH!N1983="1111",TH!O1983="1111")),TH!D1983,""),"")</f>
        <v/>
      </c>
      <c r="B1983" s="34">
        <f t="shared" si="71"/>
        <v>11</v>
      </c>
      <c r="C1983" s="35">
        <f t="shared" si="72"/>
        <v>42685</v>
      </c>
      <c r="D1983" s="212" t="s">
        <v>1015</v>
      </c>
      <c r="E1983" s="35">
        <v>42685</v>
      </c>
      <c r="F1983" s="144" t="s">
        <v>1627</v>
      </c>
      <c r="G1983" s="191"/>
      <c r="H1983" s="198"/>
      <c r="I1983" s="186"/>
      <c r="J1983" s="186"/>
      <c r="K1983" s="185"/>
      <c r="L1983" s="186"/>
      <c r="M1983" s="36">
        <v>5000000</v>
      </c>
      <c r="N1983" s="37" t="s">
        <v>34</v>
      </c>
      <c r="O1983" s="37"/>
      <c r="P1983" s="47" t="str">
        <f>IF(AND('331-CT'!$F$5=TH!H1983,OR(N1983="331",O1983="331")),"x","")</f>
        <v/>
      </c>
      <c r="Q1983" s="47" t="str">
        <f>IF(AND(B1983='111'!$L$11,OR($N1983=$Q$7,$O1983=$Q$7)),"x","")</f>
        <v>x</v>
      </c>
      <c r="R1983" s="47" t="str">
        <f>IF(AND($N1983=$Q$7,$B1983&lt;'111'!$L$11),"x","")</f>
        <v/>
      </c>
      <c r="S1983" s="47" t="str">
        <f>IF(AND($O1983=$Q$7,$B1983&lt;'111'!$L$11),"x","")</f>
        <v/>
      </c>
    </row>
    <row r="1984" spans="1:19" ht="15.75" customHeight="1">
      <c r="A1984" s="152" t="str">
        <f>IF(B1984&lt;&gt;"",IF(AND(B1984='IN-TC'!$S$4,OR(TH!N1984="1111",TH!O1984="1111")),TH!D1984,""),"")</f>
        <v/>
      </c>
      <c r="B1984" s="34">
        <f t="shared" si="71"/>
        <v>11</v>
      </c>
      <c r="C1984" s="35">
        <f t="shared" si="72"/>
        <v>42685</v>
      </c>
      <c r="D1984" s="212" t="s">
        <v>923</v>
      </c>
      <c r="E1984" s="35">
        <v>42685</v>
      </c>
      <c r="F1984" s="144" t="s">
        <v>1628</v>
      </c>
      <c r="G1984" s="191"/>
      <c r="H1984" s="198"/>
      <c r="I1984" s="186"/>
      <c r="J1984" s="186"/>
      <c r="K1984" s="185"/>
      <c r="L1984" s="186"/>
      <c r="M1984" s="36">
        <v>4825000</v>
      </c>
      <c r="N1984" s="37"/>
      <c r="O1984" s="37" t="s">
        <v>34</v>
      </c>
      <c r="P1984" s="47" t="str">
        <f>IF(AND('331-CT'!$F$5=TH!H1984,OR(N1984="331",O1984="331")),"x","")</f>
        <v/>
      </c>
      <c r="Q1984" s="47" t="str">
        <f>IF(AND(B1984='111'!$L$11,OR($N1984=$Q$7,$O1984=$Q$7)),"x","")</f>
        <v>x</v>
      </c>
      <c r="R1984" s="47" t="str">
        <f>IF(AND($N1984=$Q$7,$B1984&lt;'111'!$L$11),"x","")</f>
        <v/>
      </c>
      <c r="S1984" s="47" t="str">
        <f>IF(AND($O1984=$Q$7,$B1984&lt;'111'!$L$11),"x","")</f>
        <v/>
      </c>
    </row>
    <row r="1985" spans="1:19" ht="15.75" customHeight="1">
      <c r="A1985" s="152" t="str">
        <f>IF(B1985&lt;&gt;"",IF(AND(B1985='IN-TC'!$S$4,OR(TH!N1985="1111",TH!O1985="1111")),TH!D1985,""),"")</f>
        <v/>
      </c>
      <c r="B1985" s="34">
        <f t="shared" si="71"/>
        <v>11</v>
      </c>
      <c r="C1985" s="35">
        <f t="shared" si="72"/>
        <v>42685</v>
      </c>
      <c r="D1985" s="212" t="s">
        <v>924</v>
      </c>
      <c r="E1985" s="35">
        <v>42685</v>
      </c>
      <c r="F1985" s="144" t="s">
        <v>1629</v>
      </c>
      <c r="G1985" s="191"/>
      <c r="H1985" s="198"/>
      <c r="I1985" s="186"/>
      <c r="J1985" s="186"/>
      <c r="K1985" s="185"/>
      <c r="L1985" s="186"/>
      <c r="M1985" s="36">
        <v>5280000</v>
      </c>
      <c r="N1985" s="37"/>
      <c r="O1985" s="37" t="s">
        <v>34</v>
      </c>
      <c r="P1985" s="47" t="str">
        <f>IF(AND('331-CT'!$F$5=TH!H1985,OR(N1985="331",O1985="331")),"x","")</f>
        <v/>
      </c>
      <c r="Q1985" s="47" t="str">
        <f>IF(AND(B1985='111'!$L$11,OR($N1985=$Q$7,$O1985=$Q$7)),"x","")</f>
        <v>x</v>
      </c>
      <c r="R1985" s="47" t="str">
        <f>IF(AND($N1985=$Q$7,$B1985&lt;'111'!$L$11),"x","")</f>
        <v/>
      </c>
      <c r="S1985" s="47" t="str">
        <f>IF(AND($O1985=$Q$7,$B1985&lt;'111'!$L$11),"x","")</f>
        <v/>
      </c>
    </row>
    <row r="1986" spans="1:19" ht="15.75" customHeight="1">
      <c r="A1986" s="152" t="str">
        <f>IF(B1986&lt;&gt;"",IF(AND(B1986='IN-TC'!$S$4,OR(TH!N1986="1111",TH!O1986="1111")),TH!D1986,""),"")</f>
        <v/>
      </c>
      <c r="B1986" s="34">
        <f t="shared" si="71"/>
        <v>11</v>
      </c>
      <c r="C1986" s="35">
        <f t="shared" si="72"/>
        <v>42685</v>
      </c>
      <c r="D1986" s="212" t="s">
        <v>925</v>
      </c>
      <c r="E1986" s="35">
        <v>42685</v>
      </c>
      <c r="F1986" s="144" t="s">
        <v>1630</v>
      </c>
      <c r="G1986" s="191" t="s">
        <v>204</v>
      </c>
      <c r="H1986" s="198"/>
      <c r="I1986" s="186"/>
      <c r="J1986" s="186"/>
      <c r="K1986" s="185"/>
      <c r="L1986" s="186"/>
      <c r="M1986" s="36">
        <v>50000000</v>
      </c>
      <c r="N1986" s="37"/>
      <c r="O1986" s="37" t="s">
        <v>34</v>
      </c>
      <c r="P1986" s="47" t="str">
        <f>IF(AND('331-CT'!$F$5=TH!H1986,OR(N1986="331",O1986="331")),"x","")</f>
        <v/>
      </c>
      <c r="Q1986" s="47" t="str">
        <f>IF(AND(B1986='111'!$L$11,OR($N1986=$Q$7,$O1986=$Q$7)),"x","")</f>
        <v>x</v>
      </c>
      <c r="R1986" s="47" t="str">
        <f>IF(AND($N1986=$Q$7,$B1986&lt;'111'!$L$11),"x","")</f>
        <v/>
      </c>
      <c r="S1986" s="47" t="str">
        <f>IF(AND($O1986=$Q$7,$B1986&lt;'111'!$L$11),"x","")</f>
        <v/>
      </c>
    </row>
    <row r="1987" spans="1:19" ht="15.75" customHeight="1">
      <c r="A1987" s="152" t="str">
        <f>IF(B1987&lt;&gt;"",IF(AND(B1987='IN-TC'!$S$4,OR(TH!N1987="1111",TH!O1987="1111")),TH!D1987,""),"")</f>
        <v/>
      </c>
      <c r="B1987" s="34">
        <f t="shared" si="71"/>
        <v>11</v>
      </c>
      <c r="C1987" s="35">
        <f t="shared" si="72"/>
        <v>42686</v>
      </c>
      <c r="D1987" s="212" t="s">
        <v>1029</v>
      </c>
      <c r="E1987" s="35">
        <v>42686</v>
      </c>
      <c r="F1987" s="144" t="s">
        <v>1581</v>
      </c>
      <c r="G1987" s="191"/>
      <c r="H1987" s="198"/>
      <c r="I1987" s="186"/>
      <c r="J1987" s="186"/>
      <c r="K1987" s="185"/>
      <c r="L1987" s="186"/>
      <c r="M1987" s="36">
        <v>1400000000</v>
      </c>
      <c r="N1987" s="37" t="s">
        <v>34</v>
      </c>
      <c r="O1987" s="37"/>
      <c r="P1987" s="47" t="str">
        <f>IF(AND('331-CT'!$F$5=TH!H1987,OR(N1987="331",O1987="331")),"x","")</f>
        <v/>
      </c>
      <c r="Q1987" s="47" t="str">
        <f>IF(AND(B1987='111'!$L$11,OR($N1987=$Q$7,$O1987=$Q$7)),"x","")</f>
        <v>x</v>
      </c>
      <c r="R1987" s="47" t="str">
        <f>IF(AND($N1987=$Q$7,$B1987&lt;'111'!$L$11),"x","")</f>
        <v/>
      </c>
      <c r="S1987" s="47" t="str">
        <f>IF(AND($O1987=$Q$7,$B1987&lt;'111'!$L$11),"x","")</f>
        <v/>
      </c>
    </row>
    <row r="1988" spans="1:19" ht="15.75" customHeight="1">
      <c r="A1988" s="152" t="str">
        <f>IF(B1988&lt;&gt;"",IF(AND(B1988='IN-TC'!$S$4,OR(TH!N1988="1111",TH!O1988="1111")),TH!D1988,""),"")</f>
        <v/>
      </c>
      <c r="B1988" s="34">
        <f t="shared" si="71"/>
        <v>11</v>
      </c>
      <c r="C1988" s="35">
        <f t="shared" si="72"/>
        <v>42686</v>
      </c>
      <c r="D1988" s="212" t="s">
        <v>926</v>
      </c>
      <c r="E1988" s="35">
        <v>42686</v>
      </c>
      <c r="F1988" s="144" t="s">
        <v>1631</v>
      </c>
      <c r="G1988" s="191"/>
      <c r="H1988" s="198"/>
      <c r="I1988" s="186"/>
      <c r="J1988" s="186"/>
      <c r="K1988" s="185"/>
      <c r="L1988" s="186"/>
      <c r="M1988" s="36">
        <v>27000000</v>
      </c>
      <c r="N1988" s="37"/>
      <c r="O1988" s="37" t="s">
        <v>34</v>
      </c>
      <c r="P1988" s="47" t="str">
        <f>IF(AND('331-CT'!$F$5=TH!H1988,OR(N1988="331",O1988="331")),"x","")</f>
        <v/>
      </c>
      <c r="Q1988" s="47" t="str">
        <f>IF(AND(B1988='111'!$L$11,OR($N1988=$Q$7,$O1988=$Q$7)),"x","")</f>
        <v>x</v>
      </c>
      <c r="R1988" s="47" t="str">
        <f>IF(AND($N1988=$Q$7,$B1988&lt;'111'!$L$11),"x","")</f>
        <v/>
      </c>
      <c r="S1988" s="47" t="str">
        <f>IF(AND($O1988=$Q$7,$B1988&lt;'111'!$L$11),"x","")</f>
        <v/>
      </c>
    </row>
    <row r="1989" spans="1:19" ht="15.75" customHeight="1">
      <c r="A1989" s="152" t="str">
        <f>IF(B1989&lt;&gt;"",IF(AND(B1989='IN-TC'!$S$4,OR(TH!N1989="1111",TH!O1989="1111")),TH!D1989,""),"")</f>
        <v/>
      </c>
      <c r="B1989" s="34">
        <f t="shared" si="71"/>
        <v>11</v>
      </c>
      <c r="C1989" s="35">
        <f t="shared" si="72"/>
        <v>42686</v>
      </c>
      <c r="D1989" s="212" t="s">
        <v>927</v>
      </c>
      <c r="E1989" s="35">
        <v>42686</v>
      </c>
      <c r="F1989" s="144" t="s">
        <v>1632</v>
      </c>
      <c r="G1989" s="191"/>
      <c r="H1989" s="198"/>
      <c r="I1989" s="186"/>
      <c r="J1989" s="186"/>
      <c r="K1989" s="185"/>
      <c r="L1989" s="186"/>
      <c r="M1989" s="36">
        <v>20000000</v>
      </c>
      <c r="N1989" s="37"/>
      <c r="O1989" s="37" t="s">
        <v>34</v>
      </c>
      <c r="P1989" s="47" t="str">
        <f>IF(AND('331-CT'!$F$5=TH!H1989,OR(N1989="331",O1989="331")),"x","")</f>
        <v/>
      </c>
      <c r="Q1989" s="47" t="str">
        <f>IF(AND(B1989='111'!$L$11,OR($N1989=$Q$7,$O1989=$Q$7)),"x","")</f>
        <v>x</v>
      </c>
      <c r="R1989" s="47" t="str">
        <f>IF(AND($N1989=$Q$7,$B1989&lt;'111'!$L$11),"x","")</f>
        <v/>
      </c>
      <c r="S1989" s="47" t="str">
        <f>IF(AND($O1989=$Q$7,$B1989&lt;'111'!$L$11),"x","")</f>
        <v/>
      </c>
    </row>
    <row r="1990" spans="1:19" ht="15.75" customHeight="1">
      <c r="A1990" s="152" t="str">
        <f>IF(B1990&lt;&gt;"",IF(AND(B1990='IN-TC'!$S$4,OR(TH!N1990="1111",TH!O1990="1111")),TH!D1990,""),"")</f>
        <v/>
      </c>
      <c r="B1990" s="34">
        <f t="shared" si="71"/>
        <v>11</v>
      </c>
      <c r="C1990" s="35">
        <f t="shared" si="72"/>
        <v>42686</v>
      </c>
      <c r="D1990" s="212" t="s">
        <v>928</v>
      </c>
      <c r="E1990" s="35">
        <v>42686</v>
      </c>
      <c r="F1990" s="144" t="s">
        <v>1633</v>
      </c>
      <c r="G1990" s="191"/>
      <c r="H1990" s="198" t="s">
        <v>1570</v>
      </c>
      <c r="I1990" s="186"/>
      <c r="J1990" s="186"/>
      <c r="K1990" s="185"/>
      <c r="L1990" s="186"/>
      <c r="M1990" s="36">
        <v>1409360000</v>
      </c>
      <c r="N1990" s="37" t="s">
        <v>8</v>
      </c>
      <c r="O1990" s="37" t="s">
        <v>34</v>
      </c>
      <c r="P1990" s="47" t="str">
        <f>IF(AND('331-CT'!$F$5=TH!H1990,OR(N1990="331",O1990="331")),"x","")</f>
        <v/>
      </c>
      <c r="Q1990" s="47" t="str">
        <f>IF(AND(B1990='111'!$L$11,OR($N1990=$Q$7,$O1990=$Q$7)),"x","")</f>
        <v>x</v>
      </c>
      <c r="R1990" s="47" t="str">
        <f>IF(AND($N1990=$Q$7,$B1990&lt;'111'!$L$11),"x","")</f>
        <v/>
      </c>
      <c r="S1990" s="47" t="str">
        <f>IF(AND($O1990=$Q$7,$B1990&lt;'111'!$L$11),"x","")</f>
        <v/>
      </c>
    </row>
    <row r="1991" spans="1:19" ht="15.75" customHeight="1">
      <c r="A1991" s="152" t="str">
        <f>IF(B1991&lt;&gt;"",IF(AND(B1991='IN-TC'!$S$4,OR(TH!N1991="1111",TH!O1991="1111")),TH!D1991,""),"")</f>
        <v/>
      </c>
      <c r="B1991" s="34">
        <f t="shared" si="71"/>
        <v>11</v>
      </c>
      <c r="C1991" s="35">
        <f t="shared" si="72"/>
        <v>42686</v>
      </c>
      <c r="D1991" s="212" t="s">
        <v>929</v>
      </c>
      <c r="E1991" s="35">
        <v>42686</v>
      </c>
      <c r="F1991" s="144" t="s">
        <v>1634</v>
      </c>
      <c r="G1991" s="191"/>
      <c r="H1991" s="198"/>
      <c r="I1991" s="186"/>
      <c r="J1991" s="186"/>
      <c r="K1991" s="185"/>
      <c r="L1991" s="186"/>
      <c r="M1991" s="36">
        <v>400000</v>
      </c>
      <c r="N1991" s="37"/>
      <c r="O1991" s="37" t="s">
        <v>34</v>
      </c>
      <c r="P1991" s="47" t="str">
        <f>IF(AND('331-CT'!$F$5=TH!H1991,OR(N1991="331",O1991="331")),"x","")</f>
        <v/>
      </c>
      <c r="Q1991" s="47" t="str">
        <f>IF(AND(B1991='111'!$L$11,OR($N1991=$Q$7,$O1991=$Q$7)),"x","")</f>
        <v>x</v>
      </c>
      <c r="R1991" s="47" t="str">
        <f>IF(AND($N1991=$Q$7,$B1991&lt;'111'!$L$11),"x","")</f>
        <v/>
      </c>
      <c r="S1991" s="47" t="str">
        <f>IF(AND($O1991=$Q$7,$B1991&lt;'111'!$L$11),"x","")</f>
        <v/>
      </c>
    </row>
    <row r="1992" spans="1:19" ht="15.75" customHeight="1">
      <c r="A1992" s="152" t="str">
        <f>IF(B1992&lt;&gt;"",IF(AND(B1992='IN-TC'!$S$4,OR(TH!N1992="1111",TH!O1992="1111")),TH!D1992,""),"")</f>
        <v/>
      </c>
      <c r="B1992" s="34">
        <f t="shared" si="71"/>
        <v>11</v>
      </c>
      <c r="C1992" s="35">
        <f t="shared" si="72"/>
        <v>42686</v>
      </c>
      <c r="D1992" s="212" t="s">
        <v>940</v>
      </c>
      <c r="E1992" s="35">
        <v>42686</v>
      </c>
      <c r="F1992" s="144" t="s">
        <v>1635</v>
      </c>
      <c r="G1992" s="191"/>
      <c r="H1992" s="198"/>
      <c r="I1992" s="186"/>
      <c r="J1992" s="186"/>
      <c r="K1992" s="185"/>
      <c r="L1992" s="186"/>
      <c r="M1992" s="36">
        <v>5000000</v>
      </c>
      <c r="N1992" s="37"/>
      <c r="O1992" s="37" t="s">
        <v>34</v>
      </c>
      <c r="P1992" s="47" t="str">
        <f>IF(AND('331-CT'!$F$5=TH!H1992,OR(N1992="331",O1992="331")),"x","")</f>
        <v/>
      </c>
      <c r="Q1992" s="47" t="str">
        <f>IF(AND(B1992='111'!$L$11,OR($N1992=$Q$7,$O1992=$Q$7)),"x","")</f>
        <v>x</v>
      </c>
      <c r="R1992" s="47" t="str">
        <f>IF(AND($N1992=$Q$7,$B1992&lt;'111'!$L$11),"x","")</f>
        <v/>
      </c>
      <c r="S1992" s="47" t="str">
        <f>IF(AND($O1992=$Q$7,$B1992&lt;'111'!$L$11),"x","")</f>
        <v/>
      </c>
    </row>
    <row r="1993" spans="1:19" ht="15.75" customHeight="1">
      <c r="A1993" s="152" t="str">
        <f>IF(B1993&lt;&gt;"",IF(AND(B1993='IN-TC'!$S$4,OR(TH!N1993="1111",TH!O1993="1111")),TH!D1993,""),"")</f>
        <v/>
      </c>
      <c r="B1993" s="34">
        <f t="shared" si="71"/>
        <v>11</v>
      </c>
      <c r="C1993" s="35">
        <f t="shared" si="72"/>
        <v>42686</v>
      </c>
      <c r="D1993" s="212" t="s">
        <v>941</v>
      </c>
      <c r="E1993" s="35">
        <v>42686</v>
      </c>
      <c r="F1993" s="144" t="s">
        <v>1636</v>
      </c>
      <c r="G1993" s="191"/>
      <c r="H1993" s="198"/>
      <c r="I1993" s="186"/>
      <c r="J1993" s="186"/>
      <c r="K1993" s="185"/>
      <c r="L1993" s="186"/>
      <c r="M1993" s="36">
        <v>2600000</v>
      </c>
      <c r="N1993" s="37"/>
      <c r="O1993" s="37" t="s">
        <v>34</v>
      </c>
      <c r="P1993" s="47" t="str">
        <f>IF(AND('331-CT'!$F$5=TH!H1993,OR(N1993="331",O1993="331")),"x","")</f>
        <v/>
      </c>
      <c r="Q1993" s="47" t="str">
        <f>IF(AND(B1993='111'!$L$11,OR($N1993=$Q$7,$O1993=$Q$7)),"x","")</f>
        <v>x</v>
      </c>
      <c r="R1993" s="47" t="str">
        <f>IF(AND($N1993=$Q$7,$B1993&lt;'111'!$L$11),"x","")</f>
        <v/>
      </c>
      <c r="S1993" s="47" t="str">
        <f>IF(AND($O1993=$Q$7,$B1993&lt;'111'!$L$11),"x","")</f>
        <v/>
      </c>
    </row>
    <row r="1994" spans="1:19" ht="15.75" customHeight="1">
      <c r="A1994" s="152" t="str">
        <f>IF(B1994&lt;&gt;"",IF(AND(B1994='IN-TC'!$S$4,OR(TH!N1994="1111",TH!O1994="1111")),TH!D1994,""),"")</f>
        <v/>
      </c>
      <c r="B1994" s="34">
        <f t="shared" si="71"/>
        <v>11</v>
      </c>
      <c r="C1994" s="35">
        <f t="shared" si="72"/>
        <v>42688</v>
      </c>
      <c r="D1994" s="212" t="s">
        <v>1030</v>
      </c>
      <c r="E1994" s="35">
        <v>42688</v>
      </c>
      <c r="F1994" s="144" t="s">
        <v>1637</v>
      </c>
      <c r="G1994" s="191"/>
      <c r="H1994" s="198"/>
      <c r="I1994" s="186"/>
      <c r="J1994" s="186"/>
      <c r="K1994" s="185"/>
      <c r="L1994" s="186"/>
      <c r="M1994" s="36">
        <v>5000000</v>
      </c>
      <c r="N1994" s="37" t="s">
        <v>34</v>
      </c>
      <c r="O1994" s="37"/>
      <c r="P1994" s="47" t="str">
        <f>IF(AND('331-CT'!$F$5=TH!H1994,OR(N1994="331",O1994="331")),"x","")</f>
        <v/>
      </c>
      <c r="Q1994" s="47" t="str">
        <f>IF(AND(B1994='111'!$L$11,OR($N1994=$Q$7,$O1994=$Q$7)),"x","")</f>
        <v>x</v>
      </c>
      <c r="R1994" s="47" t="str">
        <f>IF(AND($N1994=$Q$7,$B1994&lt;'111'!$L$11),"x","")</f>
        <v/>
      </c>
      <c r="S1994" s="47" t="str">
        <f>IF(AND($O1994=$Q$7,$B1994&lt;'111'!$L$11),"x","")</f>
        <v/>
      </c>
    </row>
    <row r="1995" spans="1:19" ht="15.75" customHeight="1">
      <c r="A1995" s="152" t="str">
        <f>IF(B1995&lt;&gt;"",IF(AND(B1995='IN-TC'!$S$4,OR(TH!N1995="1111",TH!O1995="1111")),TH!D1995,""),"")</f>
        <v/>
      </c>
      <c r="B1995" s="34">
        <f t="shared" si="71"/>
        <v>11</v>
      </c>
      <c r="C1995" s="35">
        <f t="shared" si="72"/>
        <v>42688</v>
      </c>
      <c r="D1995" s="212" t="s">
        <v>942</v>
      </c>
      <c r="E1995" s="35">
        <v>42688</v>
      </c>
      <c r="F1995" s="144" t="s">
        <v>859</v>
      </c>
      <c r="G1995" s="191"/>
      <c r="H1995" s="198"/>
      <c r="I1995" s="186"/>
      <c r="J1995" s="186"/>
      <c r="K1995" s="185"/>
      <c r="L1995" s="186"/>
      <c r="M1995" s="36">
        <v>9270000</v>
      </c>
      <c r="N1995" s="37"/>
      <c r="O1995" s="37" t="s">
        <v>34</v>
      </c>
      <c r="P1995" s="47" t="str">
        <f>IF(AND('331-CT'!$F$5=TH!H1995,OR(N1995="331",O1995="331")),"x","")</f>
        <v/>
      </c>
      <c r="Q1995" s="47" t="str">
        <f>IF(AND(B1995='111'!$L$11,OR($N1995=$Q$7,$O1995=$Q$7)),"x","")</f>
        <v>x</v>
      </c>
      <c r="R1995" s="47" t="str">
        <f>IF(AND($N1995=$Q$7,$B1995&lt;'111'!$L$11),"x","")</f>
        <v/>
      </c>
      <c r="S1995" s="47" t="str">
        <f>IF(AND($O1995=$Q$7,$B1995&lt;'111'!$L$11),"x","")</f>
        <v/>
      </c>
    </row>
    <row r="1996" spans="1:19" ht="15.75" customHeight="1">
      <c r="A1996" s="152" t="str">
        <f>IF(B1996&lt;&gt;"",IF(AND(B1996='IN-TC'!$S$4,OR(TH!N1996="1111",TH!O1996="1111")),TH!D1996,""),"")</f>
        <v/>
      </c>
      <c r="B1996" s="34">
        <f t="shared" si="71"/>
        <v>11</v>
      </c>
      <c r="C1996" s="35">
        <f t="shared" si="72"/>
        <v>42688</v>
      </c>
      <c r="D1996" s="212" t="s">
        <v>1031</v>
      </c>
      <c r="E1996" s="35">
        <v>42688</v>
      </c>
      <c r="F1996" s="144" t="s">
        <v>1638</v>
      </c>
      <c r="G1996" s="191"/>
      <c r="H1996" s="198"/>
      <c r="I1996" s="186"/>
      <c r="J1996" s="186"/>
      <c r="K1996" s="185"/>
      <c r="L1996" s="186"/>
      <c r="M1996" s="36">
        <v>20000000</v>
      </c>
      <c r="N1996" s="37" t="s">
        <v>34</v>
      </c>
      <c r="O1996" s="37"/>
      <c r="P1996" s="47" t="str">
        <f>IF(AND('331-CT'!$F$5=TH!H1996,OR(N1996="331",O1996="331")),"x","")</f>
        <v/>
      </c>
      <c r="Q1996" s="47" t="str">
        <f>IF(AND(B1996='111'!$L$11,OR($N1996=$Q$7,$O1996=$Q$7)),"x","")</f>
        <v>x</v>
      </c>
      <c r="R1996" s="47" t="str">
        <f>IF(AND($N1996=$Q$7,$B1996&lt;'111'!$L$11),"x","")</f>
        <v/>
      </c>
      <c r="S1996" s="47" t="str">
        <f>IF(AND($O1996=$Q$7,$B1996&lt;'111'!$L$11),"x","")</f>
        <v/>
      </c>
    </row>
    <row r="1997" spans="1:19" ht="15.75" customHeight="1">
      <c r="A1997" s="152" t="str">
        <f>IF(B1997&lt;&gt;"",IF(AND(B1997='IN-TC'!$S$4,OR(TH!N1997="1111",TH!O1997="1111")),TH!D1997,""),"")</f>
        <v/>
      </c>
      <c r="B1997" s="34">
        <f t="shared" ref="B1997:B2086" si="73">IF(C1997&lt;&gt;"",MONTH(C1997),"")</f>
        <v>11</v>
      </c>
      <c r="C1997" s="35">
        <f t="shared" ref="C1997:C2086" si="74">E1997</f>
        <v>42688</v>
      </c>
      <c r="D1997" s="212" t="s">
        <v>943</v>
      </c>
      <c r="E1997" s="35">
        <v>42688</v>
      </c>
      <c r="F1997" s="144" t="s">
        <v>1639</v>
      </c>
      <c r="G1997" s="191"/>
      <c r="H1997" s="198"/>
      <c r="I1997" s="186"/>
      <c r="J1997" s="186"/>
      <c r="K1997" s="185"/>
      <c r="L1997" s="186"/>
      <c r="M1997" s="36">
        <v>14673000</v>
      </c>
      <c r="N1997" s="37"/>
      <c r="O1997" s="37" t="s">
        <v>34</v>
      </c>
      <c r="P1997" s="47" t="str">
        <f>IF(AND('331-CT'!$F$5=TH!H1997,OR(N1997="331",O1997="331")),"x","")</f>
        <v/>
      </c>
      <c r="Q1997" s="47" t="str">
        <f>IF(AND(B1997='111'!$L$11,OR($N1997=$Q$7,$O1997=$Q$7)),"x","")</f>
        <v>x</v>
      </c>
      <c r="R1997" s="47" t="str">
        <f>IF(AND($N1997=$Q$7,$B1997&lt;'111'!$L$11),"x","")</f>
        <v/>
      </c>
      <c r="S1997" s="47" t="str">
        <f>IF(AND($O1997=$Q$7,$B1997&lt;'111'!$L$11),"x","")</f>
        <v/>
      </c>
    </row>
    <row r="1998" spans="1:19" ht="15.75" customHeight="1">
      <c r="A1998" s="152" t="str">
        <f>IF(B1998&lt;&gt;"",IF(AND(B1998='IN-TC'!$S$4,OR(TH!N1998="1111",TH!O1998="1111")),TH!D1998,""),"")</f>
        <v/>
      </c>
      <c r="B1998" s="34">
        <f t="shared" si="73"/>
        <v>11</v>
      </c>
      <c r="C1998" s="35">
        <f t="shared" si="74"/>
        <v>42688</v>
      </c>
      <c r="D1998" s="212" t="s">
        <v>944</v>
      </c>
      <c r="E1998" s="35">
        <v>42688</v>
      </c>
      <c r="F1998" s="144" t="s">
        <v>1640</v>
      </c>
      <c r="G1998" s="191"/>
      <c r="H1998" s="198"/>
      <c r="I1998" s="186"/>
      <c r="J1998" s="186"/>
      <c r="K1998" s="185"/>
      <c r="L1998" s="186"/>
      <c r="M1998" s="36">
        <v>500000</v>
      </c>
      <c r="N1998" s="37"/>
      <c r="O1998" s="37" t="s">
        <v>34</v>
      </c>
      <c r="P1998" s="47" t="str">
        <f>IF(AND('331-CT'!$F$5=TH!H1998,OR(N1998="331",O1998="331")),"x","")</f>
        <v/>
      </c>
      <c r="Q1998" s="47" t="str">
        <f>IF(AND(B1998='111'!$L$11,OR($N1998=$Q$7,$O1998=$Q$7)),"x","")</f>
        <v>x</v>
      </c>
      <c r="R1998" s="47" t="str">
        <f>IF(AND($N1998=$Q$7,$B1998&lt;'111'!$L$11),"x","")</f>
        <v/>
      </c>
      <c r="S1998" s="47" t="str">
        <f>IF(AND($O1998=$Q$7,$B1998&lt;'111'!$L$11),"x","")</f>
        <v/>
      </c>
    </row>
    <row r="1999" spans="1:19" ht="15.75" customHeight="1">
      <c r="A1999" s="152" t="str">
        <f>IF(B1999&lt;&gt;"",IF(AND(B1999='IN-TC'!$S$4,OR(TH!N1999="1111",TH!O1999="1111")),TH!D1999,""),"")</f>
        <v/>
      </c>
      <c r="B1999" s="34">
        <f t="shared" si="73"/>
        <v>11</v>
      </c>
      <c r="C1999" s="35">
        <f t="shared" si="74"/>
        <v>42688</v>
      </c>
      <c r="D1999" s="212" t="s">
        <v>945</v>
      </c>
      <c r="E1999" s="35">
        <v>42688</v>
      </c>
      <c r="F1999" s="144" t="s">
        <v>1641</v>
      </c>
      <c r="G1999" s="191"/>
      <c r="H1999" s="198"/>
      <c r="I1999" s="186"/>
      <c r="J1999" s="186"/>
      <c r="K1999" s="185"/>
      <c r="L1999" s="186"/>
      <c r="M1999" s="36">
        <v>320000</v>
      </c>
      <c r="N1999" s="37"/>
      <c r="O1999" s="37" t="s">
        <v>34</v>
      </c>
      <c r="P1999" s="47" t="str">
        <f>IF(AND('331-CT'!$F$5=TH!H1999,OR(N1999="331",O1999="331")),"x","")</f>
        <v/>
      </c>
      <c r="Q1999" s="47" t="str">
        <f>IF(AND(B1999='111'!$L$11,OR($N1999=$Q$7,$O1999=$Q$7)),"x","")</f>
        <v>x</v>
      </c>
      <c r="R1999" s="47" t="str">
        <f>IF(AND($N1999=$Q$7,$B1999&lt;'111'!$L$11),"x","")</f>
        <v/>
      </c>
      <c r="S1999" s="47" t="str">
        <f>IF(AND($O1999=$Q$7,$B1999&lt;'111'!$L$11),"x","")</f>
        <v/>
      </c>
    </row>
    <row r="2000" spans="1:19" ht="15.75" customHeight="1">
      <c r="A2000" s="152" t="str">
        <f>IF(B2000&lt;&gt;"",IF(AND(B2000='IN-TC'!$S$4,OR(TH!N2000="1111",TH!O2000="1111")),TH!D2000,""),"")</f>
        <v/>
      </c>
      <c r="B2000" s="34">
        <f t="shared" si="73"/>
        <v>11</v>
      </c>
      <c r="C2000" s="35">
        <f t="shared" si="74"/>
        <v>42688</v>
      </c>
      <c r="D2000" s="212" t="s">
        <v>946</v>
      </c>
      <c r="E2000" s="35">
        <v>42688</v>
      </c>
      <c r="F2000" s="144" t="s">
        <v>1642</v>
      </c>
      <c r="G2000" s="191"/>
      <c r="H2000" s="198"/>
      <c r="I2000" s="186"/>
      <c r="J2000" s="186"/>
      <c r="K2000" s="185"/>
      <c r="L2000" s="186"/>
      <c r="M2000" s="36">
        <v>110000</v>
      </c>
      <c r="N2000" s="37"/>
      <c r="O2000" s="37" t="s">
        <v>34</v>
      </c>
      <c r="P2000" s="47" t="str">
        <f>IF(AND('331-CT'!$F$5=TH!H2000,OR(N2000="331",O2000="331")),"x","")</f>
        <v/>
      </c>
      <c r="Q2000" s="47" t="str">
        <f>IF(AND(B2000='111'!$L$11,OR($N2000=$Q$7,$O2000=$Q$7)),"x","")</f>
        <v>x</v>
      </c>
      <c r="R2000" s="47" t="str">
        <f>IF(AND($N2000=$Q$7,$B2000&lt;'111'!$L$11),"x","")</f>
        <v/>
      </c>
      <c r="S2000" s="47" t="str">
        <f>IF(AND($O2000=$Q$7,$B2000&lt;'111'!$L$11),"x","")</f>
        <v/>
      </c>
    </row>
    <row r="2001" spans="1:19" ht="15.75" customHeight="1">
      <c r="A2001" s="152" t="str">
        <f>IF(B2001&lt;&gt;"",IF(AND(B2001='IN-TC'!$S$4,OR(TH!N2001="1111",TH!O2001="1111")),TH!D2001,""),"")</f>
        <v/>
      </c>
      <c r="B2001" s="34">
        <f t="shared" si="73"/>
        <v>11</v>
      </c>
      <c r="C2001" s="35">
        <f t="shared" si="74"/>
        <v>42688</v>
      </c>
      <c r="D2001" s="212" t="s">
        <v>947</v>
      </c>
      <c r="E2001" s="35">
        <v>42688</v>
      </c>
      <c r="F2001" s="144" t="s">
        <v>1130</v>
      </c>
      <c r="G2001" s="191"/>
      <c r="H2001" s="198"/>
      <c r="I2001" s="186"/>
      <c r="J2001" s="186"/>
      <c r="K2001" s="185"/>
      <c r="L2001" s="186"/>
      <c r="M2001" s="36">
        <v>2202000</v>
      </c>
      <c r="N2001" s="37"/>
      <c r="O2001" s="37" t="s">
        <v>34</v>
      </c>
      <c r="P2001" s="47" t="str">
        <f>IF(AND('331-CT'!$F$5=TH!H2001,OR(N2001="331",O2001="331")),"x","")</f>
        <v/>
      </c>
      <c r="Q2001" s="47" t="str">
        <f>IF(AND(B2001='111'!$L$11,OR($N2001=$Q$7,$O2001=$Q$7)),"x","")</f>
        <v>x</v>
      </c>
      <c r="R2001" s="47" t="str">
        <f>IF(AND($N2001=$Q$7,$B2001&lt;'111'!$L$11),"x","")</f>
        <v/>
      </c>
      <c r="S2001" s="47" t="str">
        <f>IF(AND($O2001=$Q$7,$B2001&lt;'111'!$L$11),"x","")</f>
        <v/>
      </c>
    </row>
    <row r="2002" spans="1:19" ht="15.75" customHeight="1">
      <c r="A2002" s="152" t="str">
        <f>IF(B2002&lt;&gt;"",IF(AND(B2002='IN-TC'!$S$4,OR(TH!N2002="1111",TH!O2002="1111")),TH!D2002,""),"")</f>
        <v/>
      </c>
      <c r="B2002" s="34">
        <f t="shared" si="73"/>
        <v>11</v>
      </c>
      <c r="C2002" s="35">
        <f t="shared" si="74"/>
        <v>42688</v>
      </c>
      <c r="D2002" s="212" t="s">
        <v>948</v>
      </c>
      <c r="E2002" s="35">
        <v>42688</v>
      </c>
      <c r="F2002" s="144" t="s">
        <v>1643</v>
      </c>
      <c r="G2002" s="191"/>
      <c r="H2002" s="198"/>
      <c r="I2002" s="186"/>
      <c r="J2002" s="186"/>
      <c r="K2002" s="185"/>
      <c r="L2002" s="186"/>
      <c r="M2002" s="36">
        <v>10000000</v>
      </c>
      <c r="N2002" s="37"/>
      <c r="O2002" s="37" t="s">
        <v>34</v>
      </c>
      <c r="P2002" s="47" t="str">
        <f>IF(AND('331-CT'!$F$5=TH!H2002,OR(N2002="331",O2002="331")),"x","")</f>
        <v/>
      </c>
      <c r="Q2002" s="47" t="str">
        <f>IF(AND(B2002='111'!$L$11,OR($N2002=$Q$7,$O2002=$Q$7)),"x","")</f>
        <v>x</v>
      </c>
      <c r="R2002" s="47" t="str">
        <f>IF(AND($N2002=$Q$7,$B2002&lt;'111'!$L$11),"x","")</f>
        <v/>
      </c>
      <c r="S2002" s="47" t="str">
        <f>IF(AND($O2002=$Q$7,$B2002&lt;'111'!$L$11),"x","")</f>
        <v/>
      </c>
    </row>
    <row r="2003" spans="1:19" ht="15.75" customHeight="1">
      <c r="A2003" s="152" t="str">
        <f>IF(B2003&lt;&gt;"",IF(AND(B2003='IN-TC'!$S$4,OR(TH!N2003="1111",TH!O2003="1111")),TH!D2003,""),"")</f>
        <v/>
      </c>
      <c r="B2003" s="34">
        <f t="shared" si="73"/>
        <v>11</v>
      </c>
      <c r="C2003" s="35">
        <f t="shared" si="74"/>
        <v>42688</v>
      </c>
      <c r="D2003" s="212" t="s">
        <v>949</v>
      </c>
      <c r="E2003" s="35">
        <v>42688</v>
      </c>
      <c r="F2003" s="144" t="s">
        <v>1644</v>
      </c>
      <c r="G2003" s="191"/>
      <c r="H2003" s="198"/>
      <c r="I2003" s="186"/>
      <c r="J2003" s="186"/>
      <c r="K2003" s="185"/>
      <c r="L2003" s="186"/>
      <c r="M2003" s="36">
        <v>17655000</v>
      </c>
      <c r="N2003" s="37"/>
      <c r="O2003" s="37" t="s">
        <v>34</v>
      </c>
      <c r="P2003" s="47" t="str">
        <f>IF(AND('331-CT'!$F$5=TH!H2003,OR(N2003="331",O2003="331")),"x","")</f>
        <v/>
      </c>
      <c r="Q2003" s="47" t="str">
        <f>IF(AND(B2003='111'!$L$11,OR($N2003=$Q$7,$O2003=$Q$7)),"x","")</f>
        <v>x</v>
      </c>
      <c r="R2003" s="47" t="str">
        <f>IF(AND($N2003=$Q$7,$B2003&lt;'111'!$L$11),"x","")</f>
        <v/>
      </c>
      <c r="S2003" s="47" t="str">
        <f>IF(AND($O2003=$Q$7,$B2003&lt;'111'!$L$11),"x","")</f>
        <v/>
      </c>
    </row>
    <row r="2004" spans="1:19" ht="15.75" customHeight="1">
      <c r="A2004" s="152" t="str">
        <f>IF(B2004&lt;&gt;"",IF(AND(B2004='IN-TC'!$S$4,OR(TH!N2004="1111",TH!O2004="1111")),TH!D2004,""),"")</f>
        <v/>
      </c>
      <c r="B2004" s="34">
        <f t="shared" si="73"/>
        <v>11</v>
      </c>
      <c r="C2004" s="35">
        <f t="shared" si="74"/>
        <v>42688</v>
      </c>
      <c r="D2004" s="212" t="s">
        <v>1032</v>
      </c>
      <c r="E2004" s="35">
        <v>42688</v>
      </c>
      <c r="F2004" s="144" t="s">
        <v>129</v>
      </c>
      <c r="G2004" s="191"/>
      <c r="H2004" s="198"/>
      <c r="I2004" s="186"/>
      <c r="J2004" s="186"/>
      <c r="K2004" s="185"/>
      <c r="L2004" s="186"/>
      <c r="M2004" s="36">
        <v>1500000000</v>
      </c>
      <c r="N2004" s="37" t="s">
        <v>34</v>
      </c>
      <c r="O2004" s="37"/>
      <c r="P2004" s="47" t="str">
        <f>IF(AND('331-CT'!$F$5=TH!H2004,OR(N2004="331",O2004="331")),"x","")</f>
        <v/>
      </c>
      <c r="Q2004" s="47" t="str">
        <f>IF(AND(B2004='111'!$L$11,OR($N2004=$Q$7,$O2004=$Q$7)),"x","")</f>
        <v>x</v>
      </c>
      <c r="R2004" s="47" t="str">
        <f>IF(AND($N2004=$Q$7,$B2004&lt;'111'!$L$11),"x","")</f>
        <v/>
      </c>
      <c r="S2004" s="47" t="str">
        <f>IF(AND($O2004=$Q$7,$B2004&lt;'111'!$L$11),"x","")</f>
        <v/>
      </c>
    </row>
    <row r="2005" spans="1:19" ht="15.75" customHeight="1">
      <c r="A2005" s="152" t="str">
        <f>IF(B2005&lt;&gt;"",IF(AND(B2005='IN-TC'!$S$4,OR(TH!N2005="1111",TH!O2005="1111")),TH!D2005,""),"")</f>
        <v/>
      </c>
      <c r="B2005" s="34">
        <f t="shared" si="73"/>
        <v>11</v>
      </c>
      <c r="C2005" s="35">
        <f t="shared" si="74"/>
        <v>42688</v>
      </c>
      <c r="D2005" s="212" t="s">
        <v>950</v>
      </c>
      <c r="E2005" s="35">
        <v>42688</v>
      </c>
      <c r="F2005" s="144" t="s">
        <v>1667</v>
      </c>
      <c r="G2005" s="191"/>
      <c r="H2005" s="198"/>
      <c r="I2005" s="186"/>
      <c r="J2005" s="186"/>
      <c r="K2005" s="185"/>
      <c r="L2005" s="186"/>
      <c r="M2005" s="36">
        <v>100000000</v>
      </c>
      <c r="N2005" s="37"/>
      <c r="O2005" s="37" t="s">
        <v>34</v>
      </c>
      <c r="P2005" s="47" t="str">
        <f>IF(AND('331-CT'!$F$5=TH!H2005,OR(N2005="331",O2005="331")),"x","")</f>
        <v/>
      </c>
      <c r="Q2005" s="47" t="str">
        <f>IF(AND(B2005='111'!$L$11,OR($N2005=$Q$7,$O2005=$Q$7)),"x","")</f>
        <v>x</v>
      </c>
      <c r="R2005" s="47" t="str">
        <f>IF(AND($N2005=$Q$7,$B2005&lt;'111'!$L$11),"x","")</f>
        <v/>
      </c>
      <c r="S2005" s="47" t="str">
        <f>IF(AND($O2005=$Q$7,$B2005&lt;'111'!$L$11),"x","")</f>
        <v/>
      </c>
    </row>
    <row r="2006" spans="1:19" ht="15.75" customHeight="1">
      <c r="A2006" s="152" t="str">
        <f>IF(B2006&lt;&gt;"",IF(AND(B2006='IN-TC'!$S$4,OR(TH!N2006="1111",TH!O2006="1111")),TH!D2006,""),"")</f>
        <v/>
      </c>
      <c r="B2006" s="34">
        <f t="shared" si="73"/>
        <v>11</v>
      </c>
      <c r="C2006" s="35">
        <f t="shared" si="74"/>
        <v>42688</v>
      </c>
      <c r="D2006" s="212" t="s">
        <v>951</v>
      </c>
      <c r="E2006" s="35">
        <v>42688</v>
      </c>
      <c r="F2006" s="144" t="s">
        <v>1668</v>
      </c>
      <c r="G2006" s="191"/>
      <c r="H2006" s="198"/>
      <c r="I2006" s="186"/>
      <c r="J2006" s="186"/>
      <c r="K2006" s="185"/>
      <c r="L2006" s="186"/>
      <c r="M2006" s="36">
        <v>500000</v>
      </c>
      <c r="N2006" s="37"/>
      <c r="O2006" s="37" t="s">
        <v>34</v>
      </c>
      <c r="P2006" s="47" t="str">
        <f>IF(AND('331-CT'!$F$5=TH!H2006,OR(N2006="331",O2006="331")),"x","")</f>
        <v/>
      </c>
      <c r="Q2006" s="47" t="str">
        <f>IF(AND(B2006='111'!$L$11,OR($N2006=$Q$7,$O2006=$Q$7)),"x","")</f>
        <v>x</v>
      </c>
      <c r="R2006" s="47" t="str">
        <f>IF(AND($N2006=$Q$7,$B2006&lt;'111'!$L$11),"x","")</f>
        <v/>
      </c>
      <c r="S2006" s="47" t="str">
        <f>IF(AND($O2006=$Q$7,$B2006&lt;'111'!$L$11),"x","")</f>
        <v/>
      </c>
    </row>
    <row r="2007" spans="1:19" ht="15.75" customHeight="1">
      <c r="A2007" s="152" t="str">
        <f>IF(B2007&lt;&gt;"",IF(AND(B2007='IN-TC'!$S$4,OR(TH!N2007="1111",TH!O2007="1111")),TH!D2007,""),"")</f>
        <v/>
      </c>
      <c r="B2007" s="34">
        <f t="shared" si="73"/>
        <v>11</v>
      </c>
      <c r="C2007" s="35">
        <f t="shared" si="74"/>
        <v>42688</v>
      </c>
      <c r="D2007" s="212" t="s">
        <v>952</v>
      </c>
      <c r="E2007" s="35">
        <v>42688</v>
      </c>
      <c r="F2007" s="144" t="s">
        <v>1669</v>
      </c>
      <c r="G2007" s="191"/>
      <c r="H2007" s="198"/>
      <c r="I2007" s="186"/>
      <c r="J2007" s="186"/>
      <c r="K2007" s="185"/>
      <c r="L2007" s="186"/>
      <c r="M2007" s="36">
        <v>285000</v>
      </c>
      <c r="N2007" s="37"/>
      <c r="O2007" s="37" t="s">
        <v>34</v>
      </c>
      <c r="P2007" s="47" t="str">
        <f>IF(AND('331-CT'!$F$5=TH!H2007,OR(N2007="331",O2007="331")),"x","")</f>
        <v/>
      </c>
      <c r="Q2007" s="47" t="str">
        <f>IF(AND(B2007='111'!$L$11,OR($N2007=$Q$7,$O2007=$Q$7)),"x","")</f>
        <v>x</v>
      </c>
      <c r="R2007" s="47" t="str">
        <f>IF(AND($N2007=$Q$7,$B2007&lt;'111'!$L$11),"x","")</f>
        <v/>
      </c>
      <c r="S2007" s="47" t="str">
        <f>IF(AND($O2007=$Q$7,$B2007&lt;'111'!$L$11),"x","")</f>
        <v/>
      </c>
    </row>
    <row r="2008" spans="1:19" ht="15.75" customHeight="1">
      <c r="A2008" s="152" t="str">
        <f>IF(B2008&lt;&gt;"",IF(AND(B2008='IN-TC'!$S$4,OR(TH!N2008="1111",TH!O2008="1111")),TH!D2008,""),"")</f>
        <v/>
      </c>
      <c r="B2008" s="34">
        <f t="shared" si="73"/>
        <v>11</v>
      </c>
      <c r="C2008" s="35">
        <f t="shared" si="74"/>
        <v>42688</v>
      </c>
      <c r="D2008" s="212" t="s">
        <v>953</v>
      </c>
      <c r="E2008" s="35">
        <v>42688</v>
      </c>
      <c r="F2008" s="144" t="s">
        <v>1670</v>
      </c>
      <c r="G2008" s="191"/>
      <c r="H2008" s="198"/>
      <c r="I2008" s="186"/>
      <c r="J2008" s="186"/>
      <c r="K2008" s="185"/>
      <c r="L2008" s="186"/>
      <c r="M2008" s="36">
        <v>825000</v>
      </c>
      <c r="N2008" s="37"/>
      <c r="O2008" s="37" t="s">
        <v>34</v>
      </c>
      <c r="P2008" s="47" t="str">
        <f>IF(AND('331-CT'!$F$5=TH!H2008,OR(N2008="331",O2008="331")),"x","")</f>
        <v/>
      </c>
      <c r="Q2008" s="47" t="str">
        <f>IF(AND(B2008='111'!$L$11,OR($N2008=$Q$7,$O2008=$Q$7)),"x","")</f>
        <v>x</v>
      </c>
      <c r="R2008" s="47" t="str">
        <f>IF(AND($N2008=$Q$7,$B2008&lt;'111'!$L$11),"x","")</f>
        <v/>
      </c>
      <c r="S2008" s="47" t="str">
        <f>IF(AND($O2008=$Q$7,$B2008&lt;'111'!$L$11),"x","")</f>
        <v/>
      </c>
    </row>
    <row r="2009" spans="1:19" ht="15.75" customHeight="1">
      <c r="A2009" s="152" t="str">
        <f>IF(B2009&lt;&gt;"",IF(AND(B2009='IN-TC'!$S$4,OR(TH!N2009="1111",TH!O2009="1111")),TH!D2009,""),"")</f>
        <v/>
      </c>
      <c r="B2009" s="34">
        <f t="shared" si="73"/>
        <v>11</v>
      </c>
      <c r="C2009" s="35">
        <f t="shared" si="74"/>
        <v>42688</v>
      </c>
      <c r="D2009" s="212" t="s">
        <v>954</v>
      </c>
      <c r="E2009" s="35">
        <v>42688</v>
      </c>
      <c r="F2009" s="144" t="s">
        <v>1671</v>
      </c>
      <c r="G2009" s="191"/>
      <c r="H2009" s="198"/>
      <c r="I2009" s="186"/>
      <c r="J2009" s="186"/>
      <c r="K2009" s="185"/>
      <c r="L2009" s="186"/>
      <c r="M2009" s="36">
        <v>2150000</v>
      </c>
      <c r="N2009" s="37"/>
      <c r="O2009" s="37" t="s">
        <v>34</v>
      </c>
      <c r="P2009" s="47" t="str">
        <f>IF(AND('331-CT'!$F$5=TH!H2009,OR(N2009="331",O2009="331")),"x","")</f>
        <v/>
      </c>
      <c r="Q2009" s="47" t="str">
        <f>IF(AND(B2009='111'!$L$11,OR($N2009=$Q$7,$O2009=$Q$7)),"x","")</f>
        <v>x</v>
      </c>
      <c r="R2009" s="47" t="str">
        <f>IF(AND($N2009=$Q$7,$B2009&lt;'111'!$L$11),"x","")</f>
        <v/>
      </c>
      <c r="S2009" s="47" t="str">
        <f>IF(AND($O2009=$Q$7,$B2009&lt;'111'!$L$11),"x","")</f>
        <v/>
      </c>
    </row>
    <row r="2010" spans="1:19" ht="15.75" customHeight="1">
      <c r="A2010" s="152" t="str">
        <f>IF(B2010&lt;&gt;"",IF(AND(B2010='IN-TC'!$S$4,OR(TH!N2010="1111",TH!O2010="1111")),TH!D2010,""),"")</f>
        <v/>
      </c>
      <c r="B2010" s="34">
        <f t="shared" si="73"/>
        <v>11</v>
      </c>
      <c r="C2010" s="35">
        <f t="shared" si="74"/>
        <v>42688</v>
      </c>
      <c r="D2010" s="212" t="s">
        <v>955</v>
      </c>
      <c r="E2010" s="35">
        <v>42688</v>
      </c>
      <c r="F2010" s="144" t="s">
        <v>671</v>
      </c>
      <c r="G2010" s="191"/>
      <c r="H2010" s="198"/>
      <c r="I2010" s="186"/>
      <c r="J2010" s="186"/>
      <c r="K2010" s="185"/>
      <c r="L2010" s="186"/>
      <c r="M2010" s="36">
        <v>500000</v>
      </c>
      <c r="N2010" s="37"/>
      <c r="O2010" s="37" t="s">
        <v>34</v>
      </c>
      <c r="P2010" s="47" t="str">
        <f>IF(AND('331-CT'!$F$5=TH!H2010,OR(N2010="331",O2010="331")),"x","")</f>
        <v/>
      </c>
      <c r="Q2010" s="47" t="str">
        <f>IF(AND(B2010='111'!$L$11,OR($N2010=$Q$7,$O2010=$Q$7)),"x","")</f>
        <v>x</v>
      </c>
      <c r="R2010" s="47" t="str">
        <f>IF(AND($N2010=$Q$7,$B2010&lt;'111'!$L$11),"x","")</f>
        <v/>
      </c>
      <c r="S2010" s="47" t="str">
        <f>IF(AND($O2010=$Q$7,$B2010&lt;'111'!$L$11),"x","")</f>
        <v/>
      </c>
    </row>
    <row r="2011" spans="1:19" ht="15.75" customHeight="1">
      <c r="A2011" s="152" t="str">
        <f>IF(B2011&lt;&gt;"",IF(AND(B2011='IN-TC'!$S$4,OR(TH!N2011="1111",TH!O2011="1111")),TH!D2011,""),"")</f>
        <v/>
      </c>
      <c r="B2011" s="34">
        <f t="shared" si="73"/>
        <v>11</v>
      </c>
      <c r="C2011" s="35">
        <f t="shared" si="74"/>
        <v>42688</v>
      </c>
      <c r="D2011" s="212" t="s">
        <v>956</v>
      </c>
      <c r="E2011" s="35">
        <v>42688</v>
      </c>
      <c r="F2011" s="144" t="s">
        <v>1672</v>
      </c>
      <c r="G2011" s="191"/>
      <c r="H2011" s="198"/>
      <c r="I2011" s="186"/>
      <c r="J2011" s="186"/>
      <c r="K2011" s="185"/>
      <c r="L2011" s="186"/>
      <c r="M2011" s="36">
        <v>500000</v>
      </c>
      <c r="N2011" s="37"/>
      <c r="O2011" s="37" t="s">
        <v>34</v>
      </c>
      <c r="P2011" s="47" t="str">
        <f>IF(AND('331-CT'!$F$5=TH!H2011,OR(N2011="331",O2011="331")),"x","")</f>
        <v/>
      </c>
      <c r="Q2011" s="47" t="str">
        <f>IF(AND(B2011='111'!$L$11,OR($N2011=$Q$7,$O2011=$Q$7)),"x","")</f>
        <v>x</v>
      </c>
      <c r="R2011" s="47" t="str">
        <f>IF(AND($N2011=$Q$7,$B2011&lt;'111'!$L$11),"x","")</f>
        <v/>
      </c>
      <c r="S2011" s="47" t="str">
        <f>IF(AND($O2011=$Q$7,$B2011&lt;'111'!$L$11),"x","")</f>
        <v/>
      </c>
    </row>
    <row r="2012" spans="1:19" ht="15.75" customHeight="1">
      <c r="A2012" s="152" t="str">
        <f>IF(B2012&lt;&gt;"",IF(AND(B2012='IN-TC'!$S$4,OR(TH!N2012="1111",TH!O2012="1111")),TH!D2012,""),"")</f>
        <v/>
      </c>
      <c r="B2012" s="34">
        <f t="shared" si="73"/>
        <v>11</v>
      </c>
      <c r="C2012" s="35">
        <f t="shared" si="74"/>
        <v>42689</v>
      </c>
      <c r="D2012" s="212" t="s">
        <v>957</v>
      </c>
      <c r="E2012" s="35">
        <v>42689</v>
      </c>
      <c r="F2012" s="144" t="s">
        <v>850</v>
      </c>
      <c r="G2012" s="191"/>
      <c r="H2012" s="42" t="s">
        <v>825</v>
      </c>
      <c r="I2012" s="186"/>
      <c r="J2012" s="186"/>
      <c r="K2012" s="185"/>
      <c r="L2012" s="186"/>
      <c r="M2012" s="36">
        <v>150000000</v>
      </c>
      <c r="N2012" s="37" t="s">
        <v>8</v>
      </c>
      <c r="O2012" s="37" t="s">
        <v>34</v>
      </c>
      <c r="P2012" s="47" t="str">
        <f>IF(AND('331-CT'!$F$5=TH!H2012,OR(N2012="331",O2012="331")),"x","")</f>
        <v/>
      </c>
      <c r="Q2012" s="47" t="str">
        <f>IF(AND(B2012='111'!$L$11,OR($N2012=$Q$7,$O2012=$Q$7)),"x","")</f>
        <v>x</v>
      </c>
      <c r="R2012" s="47" t="str">
        <f>IF(AND($N2012=$Q$7,$B2012&lt;'111'!$L$11),"x","")</f>
        <v/>
      </c>
      <c r="S2012" s="47" t="str">
        <f>IF(AND($O2012=$Q$7,$B2012&lt;'111'!$L$11),"x","")</f>
        <v/>
      </c>
    </row>
    <row r="2013" spans="1:19" ht="15.75" customHeight="1">
      <c r="A2013" s="152" t="str">
        <f>IF(B2013&lt;&gt;"",IF(AND(B2013='IN-TC'!$S$4,OR(TH!N2013="1111",TH!O2013="1111")),TH!D2013,""),"")</f>
        <v/>
      </c>
      <c r="B2013" s="34">
        <f t="shared" si="73"/>
        <v>11</v>
      </c>
      <c r="C2013" s="35">
        <f t="shared" si="74"/>
        <v>42689</v>
      </c>
      <c r="D2013" s="212" t="s">
        <v>958</v>
      </c>
      <c r="E2013" s="35">
        <v>42689</v>
      </c>
      <c r="F2013" s="144" t="s">
        <v>850</v>
      </c>
      <c r="G2013" s="191"/>
      <c r="H2013" s="7" t="s">
        <v>843</v>
      </c>
      <c r="I2013" s="186"/>
      <c r="J2013" s="186"/>
      <c r="K2013" s="185"/>
      <c r="L2013" s="186"/>
      <c r="M2013" s="36">
        <v>200000000</v>
      </c>
      <c r="N2013" s="37" t="s">
        <v>8</v>
      </c>
      <c r="O2013" s="37" t="s">
        <v>34</v>
      </c>
      <c r="P2013" s="47" t="str">
        <f>IF(AND('331-CT'!$F$5=TH!H2013,OR(N2013="331",O2013="331")),"x","")</f>
        <v/>
      </c>
      <c r="Q2013" s="47" t="str">
        <f>IF(AND(B2013='111'!$L$11,OR($N2013=$Q$7,$O2013=$Q$7)),"x","")</f>
        <v>x</v>
      </c>
      <c r="R2013" s="47" t="str">
        <f>IF(AND($N2013=$Q$7,$B2013&lt;'111'!$L$11),"x","")</f>
        <v/>
      </c>
      <c r="S2013" s="47" t="str">
        <f>IF(AND($O2013=$Q$7,$B2013&lt;'111'!$L$11),"x","")</f>
        <v/>
      </c>
    </row>
    <row r="2014" spans="1:19" ht="15.75" customHeight="1">
      <c r="A2014" s="152" t="str">
        <f>IF(B2014&lt;&gt;"",IF(AND(B2014='IN-TC'!$S$4,OR(TH!N2014="1111",TH!O2014="1111")),TH!D2014,""),"")</f>
        <v/>
      </c>
      <c r="B2014" s="34">
        <f t="shared" si="73"/>
        <v>11</v>
      </c>
      <c r="C2014" s="35">
        <f t="shared" si="74"/>
        <v>42689</v>
      </c>
      <c r="D2014" s="212" t="s">
        <v>958</v>
      </c>
      <c r="E2014" s="35">
        <v>42689</v>
      </c>
      <c r="F2014" s="144" t="s">
        <v>1424</v>
      </c>
      <c r="G2014" s="191"/>
      <c r="H2014" s="7"/>
      <c r="I2014" s="186"/>
      <c r="J2014" s="186"/>
      <c r="K2014" s="185"/>
      <c r="L2014" s="186"/>
      <c r="M2014" s="36">
        <v>66000</v>
      </c>
      <c r="N2014" s="37"/>
      <c r="O2014" s="37" t="s">
        <v>34</v>
      </c>
      <c r="P2014" s="47" t="str">
        <f>IF(AND('331-CT'!$F$5=TH!H2014,OR(N2014="331",O2014="331")),"x","")</f>
        <v/>
      </c>
      <c r="Q2014" s="47" t="str">
        <f>IF(AND(B2014='111'!$L$11,OR($N2014=$Q$7,$O2014=$Q$7)),"x","")</f>
        <v>x</v>
      </c>
      <c r="R2014" s="47" t="str">
        <f>IF(AND($N2014=$Q$7,$B2014&lt;'111'!$L$11),"x","")</f>
        <v/>
      </c>
      <c r="S2014" s="47" t="str">
        <f>IF(AND($O2014=$Q$7,$B2014&lt;'111'!$L$11),"x","")</f>
        <v/>
      </c>
    </row>
    <row r="2015" spans="1:19" ht="15.75" customHeight="1">
      <c r="A2015" s="152" t="str">
        <f>IF(B2015&lt;&gt;"",IF(AND(B2015='IN-TC'!$S$4,OR(TH!N2015="1111",TH!O2015="1111")),TH!D2015,""),"")</f>
        <v/>
      </c>
      <c r="B2015" s="34">
        <f t="shared" si="73"/>
        <v>11</v>
      </c>
      <c r="C2015" s="35">
        <f t="shared" si="74"/>
        <v>42689</v>
      </c>
      <c r="D2015" s="212" t="s">
        <v>959</v>
      </c>
      <c r="E2015" s="35">
        <v>42689</v>
      </c>
      <c r="F2015" s="144" t="s">
        <v>850</v>
      </c>
      <c r="G2015" s="191"/>
      <c r="H2015" s="7" t="s">
        <v>1421</v>
      </c>
      <c r="I2015" s="186"/>
      <c r="J2015" s="186"/>
      <c r="K2015" s="185"/>
      <c r="L2015" s="186"/>
      <c r="M2015" s="36">
        <v>150000000</v>
      </c>
      <c r="N2015" s="37" t="s">
        <v>8</v>
      </c>
      <c r="O2015" s="37" t="s">
        <v>34</v>
      </c>
      <c r="P2015" s="47" t="str">
        <f>IF(AND('331-CT'!$F$5=TH!H2015,OR(N2015="331",O2015="331")),"x","")</f>
        <v/>
      </c>
      <c r="Q2015" s="47" t="str">
        <f>IF(AND(B2015='111'!$L$11,OR($N2015=$Q$7,$O2015=$Q$7)),"x","")</f>
        <v>x</v>
      </c>
      <c r="R2015" s="47" t="str">
        <f>IF(AND($N2015=$Q$7,$B2015&lt;'111'!$L$11),"x","")</f>
        <v/>
      </c>
      <c r="S2015" s="47" t="str">
        <f>IF(AND($O2015=$Q$7,$B2015&lt;'111'!$L$11),"x","")</f>
        <v/>
      </c>
    </row>
    <row r="2016" spans="1:19" ht="15.75" customHeight="1">
      <c r="A2016" s="152" t="str">
        <f>IF(B2016&lt;&gt;"",IF(AND(B2016='IN-TC'!$S$4,OR(TH!N2016="1111",TH!O2016="1111")),TH!D2016,""),"")</f>
        <v/>
      </c>
      <c r="B2016" s="34">
        <f t="shared" si="73"/>
        <v>11</v>
      </c>
      <c r="C2016" s="35">
        <f t="shared" si="74"/>
        <v>42689</v>
      </c>
      <c r="D2016" s="212" t="s">
        <v>960</v>
      </c>
      <c r="E2016" s="35">
        <v>42689</v>
      </c>
      <c r="F2016" s="144" t="s">
        <v>850</v>
      </c>
      <c r="G2016" s="191"/>
      <c r="H2016" s="7" t="s">
        <v>1419</v>
      </c>
      <c r="I2016" s="186"/>
      <c r="J2016" s="186"/>
      <c r="K2016" s="185"/>
      <c r="L2016" s="186"/>
      <c r="M2016" s="36">
        <v>122974000</v>
      </c>
      <c r="N2016" s="37" t="s">
        <v>8</v>
      </c>
      <c r="O2016" s="37" t="s">
        <v>34</v>
      </c>
      <c r="P2016" s="47" t="str">
        <f>IF(AND('331-CT'!$F$5=TH!H2016,OR(N2016="331",O2016="331")),"x","")</f>
        <v/>
      </c>
      <c r="Q2016" s="47" t="str">
        <f>IF(AND(B2016='111'!$L$11,OR($N2016=$Q$7,$O2016=$Q$7)),"x","")</f>
        <v>x</v>
      </c>
      <c r="R2016" s="47" t="str">
        <f>IF(AND($N2016=$Q$7,$B2016&lt;'111'!$L$11),"x","")</f>
        <v/>
      </c>
      <c r="S2016" s="47" t="str">
        <f>IF(AND($O2016=$Q$7,$B2016&lt;'111'!$L$11),"x","")</f>
        <v/>
      </c>
    </row>
    <row r="2017" spans="1:19" ht="15.75" customHeight="1">
      <c r="A2017" s="152" t="str">
        <f>IF(B2017&lt;&gt;"",IF(AND(B2017='IN-TC'!$S$4,OR(TH!N2017="1111",TH!O2017="1111")),TH!D2017,""),"")</f>
        <v/>
      </c>
      <c r="B2017" s="34">
        <f t="shared" si="73"/>
        <v>11</v>
      </c>
      <c r="C2017" s="35">
        <f t="shared" si="74"/>
        <v>42689</v>
      </c>
      <c r="D2017" s="212" t="s">
        <v>961</v>
      </c>
      <c r="E2017" s="35">
        <v>42689</v>
      </c>
      <c r="F2017" s="144" t="s">
        <v>850</v>
      </c>
      <c r="G2017" s="191"/>
      <c r="H2017" s="43" t="s">
        <v>821</v>
      </c>
      <c r="I2017" s="186"/>
      <c r="J2017" s="186"/>
      <c r="K2017" s="185"/>
      <c r="L2017" s="186"/>
      <c r="M2017" s="36">
        <v>73792000</v>
      </c>
      <c r="N2017" s="37" t="s">
        <v>8</v>
      </c>
      <c r="O2017" s="37" t="s">
        <v>34</v>
      </c>
      <c r="P2017" s="47" t="str">
        <f>IF(AND('331-CT'!$F$5=TH!H2017,OR(N2017="331",O2017="331")),"x","")</f>
        <v/>
      </c>
      <c r="Q2017" s="47" t="str">
        <f>IF(AND(B2017='111'!$L$11,OR($N2017=$Q$7,$O2017=$Q$7)),"x","")</f>
        <v>x</v>
      </c>
      <c r="R2017" s="47" t="str">
        <f>IF(AND($N2017=$Q$7,$B2017&lt;'111'!$L$11),"x","")</f>
        <v/>
      </c>
      <c r="S2017" s="47" t="str">
        <f>IF(AND($O2017=$Q$7,$B2017&lt;'111'!$L$11),"x","")</f>
        <v/>
      </c>
    </row>
    <row r="2018" spans="1:19" ht="15.75" customHeight="1">
      <c r="A2018" s="152" t="str">
        <f>IF(B2018&lt;&gt;"",IF(AND(B2018='IN-TC'!$S$4,OR(TH!N2018="1111",TH!O2018="1111")),TH!D2018,""),"")</f>
        <v/>
      </c>
      <c r="B2018" s="34">
        <f t="shared" si="73"/>
        <v>11</v>
      </c>
      <c r="C2018" s="35">
        <f t="shared" si="74"/>
        <v>42689</v>
      </c>
      <c r="D2018" s="212" t="s">
        <v>962</v>
      </c>
      <c r="E2018" s="35">
        <v>42689</v>
      </c>
      <c r="F2018" s="144" t="s">
        <v>850</v>
      </c>
      <c r="G2018" s="191"/>
      <c r="H2018" s="7" t="s">
        <v>832</v>
      </c>
      <c r="I2018" s="186"/>
      <c r="J2018" s="186"/>
      <c r="K2018" s="185"/>
      <c r="L2018" s="186"/>
      <c r="M2018" s="36">
        <v>100000000</v>
      </c>
      <c r="N2018" s="37" t="s">
        <v>8</v>
      </c>
      <c r="O2018" s="37" t="s">
        <v>34</v>
      </c>
      <c r="P2018" s="47" t="str">
        <f>IF(AND('331-CT'!$F$5=TH!H2018,OR(N2018="331",O2018="331")),"x","")</f>
        <v/>
      </c>
      <c r="Q2018" s="47" t="str">
        <f>IF(AND(B2018='111'!$L$11,OR($N2018=$Q$7,$O2018=$Q$7)),"x","")</f>
        <v>x</v>
      </c>
      <c r="R2018" s="47" t="str">
        <f>IF(AND($N2018=$Q$7,$B2018&lt;'111'!$L$11),"x","")</f>
        <v/>
      </c>
      <c r="S2018" s="47" t="str">
        <f>IF(AND($O2018=$Q$7,$B2018&lt;'111'!$L$11),"x","")</f>
        <v/>
      </c>
    </row>
    <row r="2019" spans="1:19" ht="15.75" customHeight="1">
      <c r="A2019" s="152" t="str">
        <f>IF(B2019&lt;&gt;"",IF(AND(B2019='IN-TC'!$S$4,OR(TH!N2019="1111",TH!O2019="1111")),TH!D2019,""),"")</f>
        <v/>
      </c>
      <c r="B2019" s="34">
        <f t="shared" si="73"/>
        <v>11</v>
      </c>
      <c r="C2019" s="35">
        <f t="shared" si="74"/>
        <v>42689</v>
      </c>
      <c r="D2019" s="212" t="s">
        <v>963</v>
      </c>
      <c r="E2019" s="35">
        <v>42689</v>
      </c>
      <c r="F2019" s="144" t="s">
        <v>850</v>
      </c>
      <c r="G2019" s="191"/>
      <c r="H2019" s="7" t="s">
        <v>831</v>
      </c>
      <c r="I2019" s="186"/>
      <c r="J2019" s="186"/>
      <c r="K2019" s="185"/>
      <c r="L2019" s="186"/>
      <c r="M2019" s="36">
        <v>100000000</v>
      </c>
      <c r="N2019" s="37" t="s">
        <v>8</v>
      </c>
      <c r="O2019" s="37" t="s">
        <v>34</v>
      </c>
      <c r="P2019" s="47" t="str">
        <f>IF(AND('331-CT'!$F$5=TH!H2019,OR(N2019="331",O2019="331")),"x","")</f>
        <v/>
      </c>
      <c r="Q2019" s="47" t="str">
        <f>IF(AND(B2019='111'!$L$11,OR($N2019=$Q$7,$O2019=$Q$7)),"x","")</f>
        <v>x</v>
      </c>
      <c r="R2019" s="47" t="str">
        <f>IF(AND($N2019=$Q$7,$B2019&lt;'111'!$L$11),"x","")</f>
        <v/>
      </c>
      <c r="S2019" s="47" t="str">
        <f>IF(AND($O2019=$Q$7,$B2019&lt;'111'!$L$11),"x","")</f>
        <v/>
      </c>
    </row>
    <row r="2020" spans="1:19" ht="15.75" customHeight="1">
      <c r="A2020" s="152" t="str">
        <f>IF(B2020&lt;&gt;"",IF(AND(B2020='IN-TC'!$S$4,OR(TH!N2020="1111",TH!O2020="1111")),TH!D2020,""),"")</f>
        <v/>
      </c>
      <c r="B2020" s="34">
        <f t="shared" si="73"/>
        <v>11</v>
      </c>
      <c r="C2020" s="35">
        <f t="shared" si="74"/>
        <v>42690</v>
      </c>
      <c r="D2020" s="212" t="s">
        <v>1064</v>
      </c>
      <c r="E2020" s="35">
        <v>42690</v>
      </c>
      <c r="F2020" s="144" t="s">
        <v>1581</v>
      </c>
      <c r="G2020" s="191"/>
      <c r="H2020" s="198"/>
      <c r="I2020" s="186"/>
      <c r="J2020" s="186"/>
      <c r="K2020" s="185"/>
      <c r="L2020" s="186"/>
      <c r="M2020" s="36">
        <v>3120000000</v>
      </c>
      <c r="N2020" s="37" t="s">
        <v>34</v>
      </c>
      <c r="O2020" s="37"/>
      <c r="P2020" s="47" t="str">
        <f>IF(AND('331-CT'!$F$5=TH!H2020,OR(N2020="331",O2020="331")),"x","")</f>
        <v/>
      </c>
      <c r="Q2020" s="47" t="str">
        <f>IF(AND(B2020='111'!$L$11,OR($N2020=$Q$7,$O2020=$Q$7)),"x","")</f>
        <v>x</v>
      </c>
      <c r="R2020" s="47" t="str">
        <f>IF(AND($N2020=$Q$7,$B2020&lt;'111'!$L$11),"x","")</f>
        <v/>
      </c>
      <c r="S2020" s="47" t="str">
        <f>IF(AND($O2020=$Q$7,$B2020&lt;'111'!$L$11),"x","")</f>
        <v/>
      </c>
    </row>
    <row r="2021" spans="1:19" ht="15.75" customHeight="1">
      <c r="A2021" s="152" t="str">
        <f>IF(B2021&lt;&gt;"",IF(AND(B2021='IN-TC'!$S$4,OR(TH!N2021="1111",TH!O2021="1111")),TH!D2021,""),"")</f>
        <v/>
      </c>
      <c r="B2021" s="34">
        <f t="shared" si="73"/>
        <v>11</v>
      </c>
      <c r="C2021" s="35">
        <f t="shared" si="74"/>
        <v>42690</v>
      </c>
      <c r="D2021" s="212" t="s">
        <v>964</v>
      </c>
      <c r="E2021" s="35">
        <v>42690</v>
      </c>
      <c r="F2021" s="144" t="s">
        <v>1673</v>
      </c>
      <c r="G2021" s="191"/>
      <c r="H2021" s="198"/>
      <c r="I2021" s="186"/>
      <c r="J2021" s="186"/>
      <c r="K2021" s="185"/>
      <c r="L2021" s="186"/>
      <c r="M2021" s="36">
        <v>520000000</v>
      </c>
      <c r="N2021" s="37"/>
      <c r="O2021" s="37" t="s">
        <v>34</v>
      </c>
      <c r="P2021" s="47" t="str">
        <f>IF(AND('331-CT'!$F$5=TH!H2021,OR(N2021="331",O2021="331")),"x","")</f>
        <v/>
      </c>
      <c r="Q2021" s="47" t="str">
        <f>IF(AND(B2021='111'!$L$11,OR($N2021=$Q$7,$O2021=$Q$7)),"x","")</f>
        <v>x</v>
      </c>
      <c r="R2021" s="47" t="str">
        <f>IF(AND($N2021=$Q$7,$B2021&lt;'111'!$L$11),"x","")</f>
        <v/>
      </c>
      <c r="S2021" s="47" t="str">
        <f>IF(AND($O2021=$Q$7,$B2021&lt;'111'!$L$11),"x","")</f>
        <v/>
      </c>
    </row>
    <row r="2022" spans="1:19" ht="15.75" customHeight="1">
      <c r="A2022" s="152" t="str">
        <f>IF(B2022&lt;&gt;"",IF(AND(B2022='IN-TC'!$S$4,OR(TH!N2022="1111",TH!O2022="1111")),TH!D2022,""),"")</f>
        <v/>
      </c>
      <c r="B2022" s="34">
        <f t="shared" si="73"/>
        <v>11</v>
      </c>
      <c r="C2022" s="35">
        <f t="shared" si="74"/>
        <v>42690</v>
      </c>
      <c r="D2022" s="212" t="s">
        <v>965</v>
      </c>
      <c r="E2022" s="35">
        <v>42690</v>
      </c>
      <c r="F2022" s="144" t="s">
        <v>1674</v>
      </c>
      <c r="G2022" s="191"/>
      <c r="H2022" s="198"/>
      <c r="I2022" s="186"/>
      <c r="J2022" s="186"/>
      <c r="K2022" s="185"/>
      <c r="L2022" s="186"/>
      <c r="M2022" s="36">
        <v>10000000</v>
      </c>
      <c r="N2022" s="37"/>
      <c r="O2022" s="37" t="s">
        <v>34</v>
      </c>
      <c r="P2022" s="47" t="str">
        <f>IF(AND('331-CT'!$F$5=TH!H2022,OR(N2022="331",O2022="331")),"x","")</f>
        <v/>
      </c>
      <c r="Q2022" s="47" t="str">
        <f>IF(AND(B2022='111'!$L$11,OR($N2022=$Q$7,$O2022=$Q$7)),"x","")</f>
        <v>x</v>
      </c>
      <c r="R2022" s="47" t="str">
        <f>IF(AND($N2022=$Q$7,$B2022&lt;'111'!$L$11),"x","")</f>
        <v/>
      </c>
      <c r="S2022" s="47" t="str">
        <f>IF(AND($O2022=$Q$7,$B2022&lt;'111'!$L$11),"x","")</f>
        <v/>
      </c>
    </row>
    <row r="2023" spans="1:19" ht="15.75" customHeight="1">
      <c r="A2023" s="152" t="str">
        <f>IF(B2023&lt;&gt;"",IF(AND(B2023='IN-TC'!$S$4,OR(TH!N2023="1111",TH!O2023="1111")),TH!D2023,""),"")</f>
        <v/>
      </c>
      <c r="B2023" s="34">
        <f t="shared" si="73"/>
        <v>11</v>
      </c>
      <c r="C2023" s="35">
        <f t="shared" si="74"/>
        <v>42690</v>
      </c>
      <c r="D2023" s="212" t="s">
        <v>966</v>
      </c>
      <c r="E2023" s="35">
        <v>42690</v>
      </c>
      <c r="F2023" s="144" t="s">
        <v>1675</v>
      </c>
      <c r="G2023" s="191"/>
      <c r="H2023" s="198"/>
      <c r="I2023" s="186"/>
      <c r="J2023" s="186"/>
      <c r="K2023" s="185"/>
      <c r="L2023" s="186"/>
      <c r="M2023" s="36">
        <v>1290000</v>
      </c>
      <c r="N2023" s="37"/>
      <c r="O2023" s="37" t="s">
        <v>34</v>
      </c>
      <c r="P2023" s="47" t="str">
        <f>IF(AND('331-CT'!$F$5=TH!H2023,OR(N2023="331",O2023="331")),"x","")</f>
        <v/>
      </c>
      <c r="Q2023" s="47" t="str">
        <f>IF(AND(B2023='111'!$L$11,OR($N2023=$Q$7,$O2023=$Q$7)),"x","")</f>
        <v>x</v>
      </c>
      <c r="R2023" s="47" t="str">
        <f>IF(AND($N2023=$Q$7,$B2023&lt;'111'!$L$11),"x","")</f>
        <v/>
      </c>
      <c r="S2023" s="47" t="str">
        <f>IF(AND($O2023=$Q$7,$B2023&lt;'111'!$L$11),"x","")</f>
        <v/>
      </c>
    </row>
    <row r="2024" spans="1:19" ht="15.75" customHeight="1">
      <c r="A2024" s="152" t="str">
        <f>IF(B2024&lt;&gt;"",IF(AND(B2024='IN-TC'!$S$4,OR(TH!N2024="1111",TH!O2024="1111")),TH!D2024,""),"")</f>
        <v/>
      </c>
      <c r="B2024" s="34">
        <f t="shared" si="73"/>
        <v>11</v>
      </c>
      <c r="C2024" s="35">
        <f t="shared" si="74"/>
        <v>42690</v>
      </c>
      <c r="D2024" s="212" t="s">
        <v>967</v>
      </c>
      <c r="E2024" s="35">
        <v>42690</v>
      </c>
      <c r="F2024" s="144" t="s">
        <v>279</v>
      </c>
      <c r="G2024" s="191"/>
      <c r="H2024" s="198"/>
      <c r="I2024" s="186"/>
      <c r="J2024" s="186"/>
      <c r="K2024" s="185"/>
      <c r="L2024" s="186"/>
      <c r="M2024" s="36">
        <v>309000</v>
      </c>
      <c r="N2024" s="37"/>
      <c r="O2024" s="37" t="s">
        <v>34</v>
      </c>
      <c r="P2024" s="47" t="str">
        <f>IF(AND('331-CT'!$F$5=TH!H2024,OR(N2024="331",O2024="331")),"x","")</f>
        <v/>
      </c>
      <c r="Q2024" s="47" t="str">
        <f>IF(AND(B2024='111'!$L$11,OR($N2024=$Q$7,$O2024=$Q$7)),"x","")</f>
        <v>x</v>
      </c>
      <c r="R2024" s="47" t="str">
        <f>IF(AND($N2024=$Q$7,$B2024&lt;'111'!$L$11),"x","")</f>
        <v/>
      </c>
      <c r="S2024" s="47" t="str">
        <f>IF(AND($O2024=$Q$7,$B2024&lt;'111'!$L$11),"x","")</f>
        <v/>
      </c>
    </row>
    <row r="2025" spans="1:19" ht="15.75" customHeight="1">
      <c r="A2025" s="152" t="str">
        <f>IF(B2025&lt;&gt;"",IF(AND(B2025='IN-TC'!$S$4,OR(TH!N2025="1111",TH!O2025="1111")),TH!D2025,""),"")</f>
        <v/>
      </c>
      <c r="B2025" s="34">
        <f t="shared" si="73"/>
        <v>11</v>
      </c>
      <c r="C2025" s="35">
        <f t="shared" si="74"/>
        <v>42690</v>
      </c>
      <c r="D2025" s="212" t="s">
        <v>1135</v>
      </c>
      <c r="E2025" s="35">
        <v>42690</v>
      </c>
      <c r="F2025" s="144" t="s">
        <v>1019</v>
      </c>
      <c r="G2025" s="191"/>
      <c r="H2025" s="198"/>
      <c r="I2025" s="186"/>
      <c r="J2025" s="186"/>
      <c r="K2025" s="185"/>
      <c r="L2025" s="186"/>
      <c r="M2025" s="36">
        <v>250000000</v>
      </c>
      <c r="N2025" s="37" t="s">
        <v>34</v>
      </c>
      <c r="O2025" s="37"/>
      <c r="P2025" s="47" t="str">
        <f>IF(AND('331-CT'!$F$5=TH!H2025,OR(N2025="331",O2025="331")),"x","")</f>
        <v/>
      </c>
      <c r="Q2025" s="47" t="str">
        <f>IF(AND(B2025='111'!$L$11,OR($N2025=$Q$7,$O2025=$Q$7)),"x","")</f>
        <v>x</v>
      </c>
      <c r="R2025" s="47" t="str">
        <f>IF(AND($N2025=$Q$7,$B2025&lt;'111'!$L$11),"x","")</f>
        <v/>
      </c>
      <c r="S2025" s="47" t="str">
        <f>IF(AND($O2025=$Q$7,$B2025&lt;'111'!$L$11),"x","")</f>
        <v/>
      </c>
    </row>
    <row r="2026" spans="1:19" ht="15.75" customHeight="1">
      <c r="A2026" s="152" t="str">
        <f>IF(B2026&lt;&gt;"",IF(AND(B2026='IN-TC'!$S$4,OR(TH!N2026="1111",TH!O2026="1111")),TH!D2026,""),"")</f>
        <v/>
      </c>
      <c r="B2026" s="34">
        <f t="shared" si="73"/>
        <v>11</v>
      </c>
      <c r="C2026" s="35">
        <f t="shared" si="74"/>
        <v>42690</v>
      </c>
      <c r="D2026" s="212" t="s">
        <v>968</v>
      </c>
      <c r="E2026" s="35">
        <v>42690</v>
      </c>
      <c r="F2026" s="144" t="s">
        <v>1676</v>
      </c>
      <c r="G2026" s="191"/>
      <c r="H2026" s="198"/>
      <c r="I2026" s="186"/>
      <c r="J2026" s="186"/>
      <c r="K2026" s="185"/>
      <c r="L2026" s="186"/>
      <c r="M2026" s="36">
        <v>3240938000</v>
      </c>
      <c r="N2026" s="37"/>
      <c r="O2026" s="37" t="s">
        <v>34</v>
      </c>
      <c r="P2026" s="47" t="str">
        <f>IF(AND('331-CT'!$F$5=TH!H2026,OR(N2026="331",O2026="331")),"x","")</f>
        <v/>
      </c>
      <c r="Q2026" s="47" t="str">
        <f>IF(AND(B2026='111'!$L$11,OR($N2026=$Q$7,$O2026=$Q$7)),"x","")</f>
        <v>x</v>
      </c>
      <c r="R2026" s="47" t="str">
        <f>IF(AND($N2026=$Q$7,$B2026&lt;'111'!$L$11),"x","")</f>
        <v/>
      </c>
      <c r="S2026" s="47" t="str">
        <f>IF(AND($O2026=$Q$7,$B2026&lt;'111'!$L$11),"x","")</f>
        <v/>
      </c>
    </row>
    <row r="2027" spans="1:19" ht="15.75" customHeight="1">
      <c r="A2027" s="152" t="str">
        <f>IF(B2027&lt;&gt;"",IF(AND(B2027='IN-TC'!$S$4,OR(TH!N2027="1111",TH!O2027="1111")),TH!D2027,""),"")</f>
        <v/>
      </c>
      <c r="B2027" s="34">
        <f t="shared" si="73"/>
        <v>11</v>
      </c>
      <c r="C2027" s="35">
        <f t="shared" si="74"/>
        <v>42690</v>
      </c>
      <c r="D2027" s="212" t="s">
        <v>1172</v>
      </c>
      <c r="E2027" s="35">
        <v>42690</v>
      </c>
      <c r="F2027" s="144" t="s">
        <v>1677</v>
      </c>
      <c r="G2027" s="191"/>
      <c r="H2027" s="198"/>
      <c r="I2027" s="186"/>
      <c r="J2027" s="186"/>
      <c r="K2027" s="185"/>
      <c r="L2027" s="186"/>
      <c r="M2027" s="36">
        <v>50000000</v>
      </c>
      <c r="N2027" s="37" t="s">
        <v>34</v>
      </c>
      <c r="O2027" s="37"/>
      <c r="P2027" s="47" t="str">
        <f>IF(AND('331-CT'!$F$5=TH!H2027,OR(N2027="331",O2027="331")),"x","")</f>
        <v/>
      </c>
      <c r="Q2027" s="47" t="str">
        <f>IF(AND(B2027='111'!$L$11,OR($N2027=$Q$7,$O2027=$Q$7)),"x","")</f>
        <v>x</v>
      </c>
      <c r="R2027" s="47" t="str">
        <f>IF(AND($N2027=$Q$7,$B2027&lt;'111'!$L$11),"x","")</f>
        <v/>
      </c>
      <c r="S2027" s="47" t="str">
        <f>IF(AND($O2027=$Q$7,$B2027&lt;'111'!$L$11),"x","")</f>
        <v/>
      </c>
    </row>
    <row r="2028" spans="1:19" ht="15.75" customHeight="1">
      <c r="A2028" s="152" t="str">
        <f>IF(B2028&lt;&gt;"",IF(AND(B2028='IN-TC'!$S$4,OR(TH!N2028="1111",TH!O2028="1111")),TH!D2028,""),"")</f>
        <v/>
      </c>
      <c r="B2028" s="34">
        <f t="shared" si="73"/>
        <v>11</v>
      </c>
      <c r="C2028" s="35">
        <f t="shared" si="74"/>
        <v>42690</v>
      </c>
      <c r="D2028" s="212" t="s">
        <v>969</v>
      </c>
      <c r="E2028" s="35">
        <v>42690</v>
      </c>
      <c r="F2028" s="144" t="s">
        <v>1678</v>
      </c>
      <c r="G2028" s="191"/>
      <c r="H2028" s="198"/>
      <c r="I2028" s="186"/>
      <c r="J2028" s="186"/>
      <c r="K2028" s="185"/>
      <c r="L2028" s="186"/>
      <c r="M2028" s="36">
        <v>43600000</v>
      </c>
      <c r="N2028" s="37"/>
      <c r="O2028" s="37" t="s">
        <v>34</v>
      </c>
      <c r="P2028" s="47" t="str">
        <f>IF(AND('331-CT'!$F$5=TH!H2028,OR(N2028="331",O2028="331")),"x","")</f>
        <v/>
      </c>
      <c r="Q2028" s="47" t="str">
        <f>IF(AND(B2028='111'!$L$11,OR($N2028=$Q$7,$O2028=$Q$7)),"x","")</f>
        <v>x</v>
      </c>
      <c r="R2028" s="47" t="str">
        <f>IF(AND($N2028=$Q$7,$B2028&lt;'111'!$L$11),"x","")</f>
        <v/>
      </c>
      <c r="S2028" s="47" t="str">
        <f>IF(AND($O2028=$Q$7,$B2028&lt;'111'!$L$11),"x","")</f>
        <v/>
      </c>
    </row>
    <row r="2029" spans="1:19" ht="15.75" customHeight="1">
      <c r="A2029" s="152" t="str">
        <f>IF(B2029&lt;&gt;"",IF(AND(B2029='IN-TC'!$S$4,OR(TH!N2029="1111",TH!O2029="1111")),TH!D2029,""),"")</f>
        <v/>
      </c>
      <c r="B2029" s="34">
        <f t="shared" si="73"/>
        <v>11</v>
      </c>
      <c r="C2029" s="35">
        <f t="shared" si="74"/>
        <v>42690</v>
      </c>
      <c r="D2029" s="212" t="s">
        <v>970</v>
      </c>
      <c r="E2029" s="35">
        <v>42690</v>
      </c>
      <c r="F2029" s="144" t="s">
        <v>1039</v>
      </c>
      <c r="G2029" s="191"/>
      <c r="H2029" s="198"/>
      <c r="I2029" s="186"/>
      <c r="J2029" s="186"/>
      <c r="K2029" s="185"/>
      <c r="L2029" s="186"/>
      <c r="M2029" s="36">
        <v>290000</v>
      </c>
      <c r="N2029" s="37"/>
      <c r="O2029" s="37" t="s">
        <v>34</v>
      </c>
      <c r="P2029" s="47" t="str">
        <f>IF(AND('331-CT'!$F$5=TH!H2029,OR(N2029="331",O2029="331")),"x","")</f>
        <v/>
      </c>
      <c r="Q2029" s="47" t="str">
        <f>IF(AND(B2029='111'!$L$11,OR($N2029=$Q$7,$O2029=$Q$7)),"x","")</f>
        <v>x</v>
      </c>
      <c r="R2029" s="47" t="str">
        <f>IF(AND($N2029=$Q$7,$B2029&lt;'111'!$L$11),"x","")</f>
        <v/>
      </c>
      <c r="S2029" s="47" t="str">
        <f>IF(AND($O2029=$Q$7,$B2029&lt;'111'!$L$11),"x","")</f>
        <v/>
      </c>
    </row>
    <row r="2030" spans="1:19" ht="15.75" customHeight="1">
      <c r="A2030" s="152" t="str">
        <f>IF(B2030&lt;&gt;"",IF(AND(B2030='IN-TC'!$S$4,OR(TH!N2030="1111",TH!O2030="1111")),TH!D2030,""),"")</f>
        <v/>
      </c>
      <c r="B2030" s="34">
        <f t="shared" si="73"/>
        <v>11</v>
      </c>
      <c r="C2030" s="35">
        <f t="shared" si="74"/>
        <v>42690</v>
      </c>
      <c r="D2030" s="212" t="s">
        <v>971</v>
      </c>
      <c r="E2030" s="35">
        <v>42690</v>
      </c>
      <c r="F2030" s="144" t="s">
        <v>1679</v>
      </c>
      <c r="G2030" s="191"/>
      <c r="H2030" s="198"/>
      <c r="I2030" s="186"/>
      <c r="J2030" s="186"/>
      <c r="K2030" s="185"/>
      <c r="L2030" s="186"/>
      <c r="M2030" s="36">
        <v>243791000</v>
      </c>
      <c r="N2030" s="37"/>
      <c r="O2030" s="37" t="s">
        <v>34</v>
      </c>
      <c r="P2030" s="47" t="str">
        <f>IF(AND('331-CT'!$F$5=TH!H2030,OR(N2030="331",O2030="331")),"x","")</f>
        <v/>
      </c>
      <c r="Q2030" s="47" t="str">
        <f>IF(AND(B2030='111'!$L$11,OR($N2030=$Q$7,$O2030=$Q$7)),"x","")</f>
        <v>x</v>
      </c>
      <c r="R2030" s="47" t="str">
        <f>IF(AND($N2030=$Q$7,$B2030&lt;'111'!$L$11),"x","")</f>
        <v/>
      </c>
      <c r="S2030" s="47" t="str">
        <f>IF(AND($O2030=$Q$7,$B2030&lt;'111'!$L$11),"x","")</f>
        <v/>
      </c>
    </row>
    <row r="2031" spans="1:19" ht="15.75" customHeight="1">
      <c r="A2031" s="152" t="str">
        <f>IF(B2031&lt;&gt;"",IF(AND(B2031='IN-TC'!$S$4,OR(TH!N2031="1111",TH!O2031="1111")),TH!D2031,""),"")</f>
        <v/>
      </c>
      <c r="B2031" s="34">
        <f t="shared" si="73"/>
        <v>11</v>
      </c>
      <c r="C2031" s="35">
        <f t="shared" si="74"/>
        <v>42691</v>
      </c>
      <c r="D2031" s="212" t="s">
        <v>972</v>
      </c>
      <c r="E2031" s="35">
        <v>42691</v>
      </c>
      <c r="F2031" s="144" t="s">
        <v>1680</v>
      </c>
      <c r="G2031" s="191"/>
      <c r="H2031" s="198"/>
      <c r="I2031" s="186"/>
      <c r="J2031" s="186"/>
      <c r="K2031" s="185"/>
      <c r="L2031" s="186"/>
      <c r="M2031" s="36">
        <v>300000</v>
      </c>
      <c r="N2031" s="37"/>
      <c r="O2031" s="37" t="s">
        <v>34</v>
      </c>
      <c r="P2031" s="47" t="str">
        <f>IF(AND('331-CT'!$F$5=TH!H2031,OR(N2031="331",O2031="331")),"x","")</f>
        <v/>
      </c>
      <c r="Q2031" s="47" t="str">
        <f>IF(AND(B2031='111'!$L$11,OR($N2031=$Q$7,$O2031=$Q$7)),"x","")</f>
        <v>x</v>
      </c>
      <c r="R2031" s="47" t="str">
        <f>IF(AND($N2031=$Q$7,$B2031&lt;'111'!$L$11),"x","")</f>
        <v/>
      </c>
      <c r="S2031" s="47" t="str">
        <f>IF(AND($O2031=$Q$7,$B2031&lt;'111'!$L$11),"x","")</f>
        <v/>
      </c>
    </row>
    <row r="2032" spans="1:19" ht="15.75" customHeight="1">
      <c r="A2032" s="152" t="str">
        <f>IF(B2032&lt;&gt;"",IF(AND(B2032='IN-TC'!$S$4,OR(TH!N2032="1111",TH!O2032="1111")),TH!D2032,""),"")</f>
        <v/>
      </c>
      <c r="B2032" s="34">
        <f t="shared" si="73"/>
        <v>11</v>
      </c>
      <c r="C2032" s="35">
        <f t="shared" si="74"/>
        <v>42691</v>
      </c>
      <c r="D2032" s="212" t="s">
        <v>973</v>
      </c>
      <c r="E2032" s="35">
        <v>42691</v>
      </c>
      <c r="F2032" s="144" t="s">
        <v>1681</v>
      </c>
      <c r="G2032" s="191"/>
      <c r="H2032" s="198"/>
      <c r="I2032" s="186"/>
      <c r="J2032" s="186"/>
      <c r="K2032" s="185"/>
      <c r="L2032" s="186"/>
      <c r="M2032" s="36">
        <v>5000000</v>
      </c>
      <c r="N2032" s="37"/>
      <c r="O2032" s="37" t="s">
        <v>34</v>
      </c>
      <c r="P2032" s="47" t="str">
        <f>IF(AND('331-CT'!$F$5=TH!H2032,OR(N2032="331",O2032="331")),"x","")</f>
        <v/>
      </c>
      <c r="Q2032" s="47" t="str">
        <f>IF(AND(B2032='111'!$L$11,OR($N2032=$Q$7,$O2032=$Q$7)),"x","")</f>
        <v>x</v>
      </c>
      <c r="R2032" s="47" t="str">
        <f>IF(AND($N2032=$Q$7,$B2032&lt;'111'!$L$11),"x","")</f>
        <v/>
      </c>
      <c r="S2032" s="47" t="str">
        <f>IF(AND($O2032=$Q$7,$B2032&lt;'111'!$L$11),"x","")</f>
        <v/>
      </c>
    </row>
    <row r="2033" spans="1:19" ht="15.75" customHeight="1">
      <c r="A2033" s="152" t="str">
        <f>IF(B2033&lt;&gt;"",IF(AND(B2033='IN-TC'!$S$4,OR(TH!N2033="1111",TH!O2033="1111")),TH!D2033,""),"")</f>
        <v/>
      </c>
      <c r="B2033" s="34">
        <f t="shared" si="73"/>
        <v>11</v>
      </c>
      <c r="C2033" s="35">
        <f t="shared" si="74"/>
        <v>42691</v>
      </c>
      <c r="D2033" s="212" t="s">
        <v>1279</v>
      </c>
      <c r="E2033" s="35">
        <v>42691</v>
      </c>
      <c r="F2033" s="144" t="s">
        <v>1682</v>
      </c>
      <c r="G2033" s="191"/>
      <c r="H2033" s="198"/>
      <c r="I2033" s="186"/>
      <c r="J2033" s="186"/>
      <c r="K2033" s="185"/>
      <c r="L2033" s="186"/>
      <c r="M2033" s="36">
        <v>92500000</v>
      </c>
      <c r="N2033" s="37" t="s">
        <v>34</v>
      </c>
      <c r="O2033" s="37"/>
      <c r="P2033" s="47" t="str">
        <f>IF(AND('331-CT'!$F$5=TH!H2033,OR(N2033="331",O2033="331")),"x","")</f>
        <v/>
      </c>
      <c r="Q2033" s="47" t="str">
        <f>IF(AND(B2033='111'!$L$11,OR($N2033=$Q$7,$O2033=$Q$7)),"x","")</f>
        <v>x</v>
      </c>
      <c r="R2033" s="47" t="str">
        <f>IF(AND($N2033=$Q$7,$B2033&lt;'111'!$L$11),"x","")</f>
        <v/>
      </c>
      <c r="S2033" s="47" t="str">
        <f>IF(AND($O2033=$Q$7,$B2033&lt;'111'!$L$11),"x","")</f>
        <v/>
      </c>
    </row>
    <row r="2034" spans="1:19" ht="15.75" customHeight="1">
      <c r="A2034" s="152" t="str">
        <f>IF(B2034&lt;&gt;"",IF(AND(B2034='IN-TC'!$S$4,OR(TH!N2034="1111",TH!O2034="1111")),TH!D2034,""),"")</f>
        <v/>
      </c>
      <c r="B2034" s="34">
        <f t="shared" si="73"/>
        <v>11</v>
      </c>
      <c r="C2034" s="35">
        <f t="shared" si="74"/>
        <v>42691</v>
      </c>
      <c r="D2034" s="212" t="s">
        <v>1280</v>
      </c>
      <c r="E2034" s="35">
        <v>42691</v>
      </c>
      <c r="F2034" s="144" t="s">
        <v>1683</v>
      </c>
      <c r="G2034" s="191"/>
      <c r="H2034" s="198"/>
      <c r="I2034" s="186"/>
      <c r="J2034" s="186"/>
      <c r="K2034" s="185"/>
      <c r="L2034" s="186"/>
      <c r="M2034" s="36">
        <v>129160000</v>
      </c>
      <c r="N2034" s="37" t="s">
        <v>34</v>
      </c>
      <c r="O2034" s="37"/>
      <c r="P2034" s="47" t="str">
        <f>IF(AND('331-CT'!$F$5=TH!H2034,OR(N2034="331",O2034="331")),"x","")</f>
        <v/>
      </c>
      <c r="Q2034" s="47" t="str">
        <f>IF(AND(B2034='111'!$L$11,OR($N2034=$Q$7,$O2034=$Q$7)),"x","")</f>
        <v>x</v>
      </c>
      <c r="R2034" s="47" t="str">
        <f>IF(AND($N2034=$Q$7,$B2034&lt;'111'!$L$11),"x","")</f>
        <v/>
      </c>
      <c r="S2034" s="47" t="str">
        <f>IF(AND($O2034=$Q$7,$B2034&lt;'111'!$L$11),"x","")</f>
        <v/>
      </c>
    </row>
    <row r="2035" spans="1:19" ht="15.75" customHeight="1">
      <c r="A2035" s="152" t="str">
        <f>IF(B2035&lt;&gt;"",IF(AND(B2035='IN-TC'!$S$4,OR(TH!N2035="1111",TH!O2035="1111")),TH!D2035,""),"")</f>
        <v/>
      </c>
      <c r="B2035" s="34">
        <f t="shared" si="73"/>
        <v>11</v>
      </c>
      <c r="C2035" s="35">
        <f t="shared" si="74"/>
        <v>42691</v>
      </c>
      <c r="D2035" s="212" t="s">
        <v>1281</v>
      </c>
      <c r="E2035" s="35">
        <v>42691</v>
      </c>
      <c r="F2035" s="144" t="s">
        <v>1684</v>
      </c>
      <c r="G2035" s="191"/>
      <c r="H2035" s="198"/>
      <c r="I2035" s="186"/>
      <c r="J2035" s="186"/>
      <c r="K2035" s="185"/>
      <c r="L2035" s="186"/>
      <c r="M2035" s="36">
        <v>28340000</v>
      </c>
      <c r="N2035" s="37" t="s">
        <v>34</v>
      </c>
      <c r="O2035" s="37"/>
      <c r="P2035" s="47" t="str">
        <f>IF(AND('331-CT'!$F$5=TH!H2035,OR(N2035="331",O2035="331")),"x","")</f>
        <v/>
      </c>
      <c r="Q2035" s="47" t="str">
        <f>IF(AND(B2035='111'!$L$11,OR($N2035=$Q$7,$O2035=$Q$7)),"x","")</f>
        <v>x</v>
      </c>
      <c r="R2035" s="47" t="str">
        <f>IF(AND($N2035=$Q$7,$B2035&lt;'111'!$L$11),"x","")</f>
        <v/>
      </c>
      <c r="S2035" s="47" t="str">
        <f>IF(AND($O2035=$Q$7,$B2035&lt;'111'!$L$11),"x","")</f>
        <v/>
      </c>
    </row>
    <row r="2036" spans="1:19" ht="15.75" customHeight="1">
      <c r="A2036" s="152" t="str">
        <f>IF(B2036&lt;&gt;"",IF(AND(B2036='IN-TC'!$S$4,OR(TH!N2036="1111",TH!O2036="1111")),TH!D2036,""),"")</f>
        <v/>
      </c>
      <c r="B2036" s="34">
        <f t="shared" si="73"/>
        <v>11</v>
      </c>
      <c r="C2036" s="35">
        <f t="shared" si="74"/>
        <v>42691</v>
      </c>
      <c r="D2036" s="212" t="s">
        <v>974</v>
      </c>
      <c r="E2036" s="35">
        <v>42691</v>
      </c>
      <c r="F2036" s="144" t="s">
        <v>850</v>
      </c>
      <c r="G2036" s="191"/>
      <c r="H2036" s="7" t="s">
        <v>820</v>
      </c>
      <c r="I2036" s="186"/>
      <c r="J2036" s="186"/>
      <c r="K2036" s="185"/>
      <c r="L2036" s="186"/>
      <c r="M2036" s="36">
        <v>100000000</v>
      </c>
      <c r="N2036" s="37" t="s">
        <v>8</v>
      </c>
      <c r="O2036" s="37" t="s">
        <v>34</v>
      </c>
      <c r="P2036" s="47" t="str">
        <f>IF(AND('331-CT'!$F$5=TH!H2036,OR(N2036="331",O2036="331")),"x","")</f>
        <v/>
      </c>
      <c r="Q2036" s="47" t="str">
        <f>IF(AND(B2036='111'!$L$11,OR($N2036=$Q$7,$O2036=$Q$7)),"x","")</f>
        <v>x</v>
      </c>
      <c r="R2036" s="47" t="str">
        <f>IF(AND($N2036=$Q$7,$B2036&lt;'111'!$L$11),"x","")</f>
        <v/>
      </c>
      <c r="S2036" s="47" t="str">
        <f>IF(AND($O2036=$Q$7,$B2036&lt;'111'!$L$11),"x","")</f>
        <v/>
      </c>
    </row>
    <row r="2037" spans="1:19" ht="15.75" customHeight="1">
      <c r="A2037" s="152" t="str">
        <f>IF(B2037&lt;&gt;"",IF(AND(B2037='IN-TC'!$S$4,OR(TH!N2037="1111",TH!O2037="1111")),TH!D2037,""),"")</f>
        <v/>
      </c>
      <c r="B2037" s="34">
        <f t="shared" si="73"/>
        <v>11</v>
      </c>
      <c r="C2037" s="35">
        <f t="shared" si="74"/>
        <v>42691</v>
      </c>
      <c r="D2037" s="212" t="s">
        <v>975</v>
      </c>
      <c r="E2037" s="35">
        <v>42691</v>
      </c>
      <c r="F2037" s="144" t="s">
        <v>850</v>
      </c>
      <c r="G2037" s="191"/>
      <c r="H2037" s="7" t="s">
        <v>1393</v>
      </c>
      <c r="I2037" s="186"/>
      <c r="J2037" s="186"/>
      <c r="K2037" s="185"/>
      <c r="L2037" s="186"/>
      <c r="M2037" s="36">
        <v>100000000</v>
      </c>
      <c r="N2037" s="37" t="s">
        <v>8</v>
      </c>
      <c r="O2037" s="37" t="s">
        <v>34</v>
      </c>
      <c r="P2037" s="47" t="str">
        <f>IF(AND('331-CT'!$F$5=TH!H2037,OR(N2037="331",O2037="331")),"x","")</f>
        <v>x</v>
      </c>
      <c r="Q2037" s="47" t="str">
        <f>IF(AND(B2037='111'!$L$11,OR($N2037=$Q$7,$O2037=$Q$7)),"x","")</f>
        <v>x</v>
      </c>
      <c r="R2037" s="47" t="str">
        <f>IF(AND($N2037=$Q$7,$B2037&lt;'111'!$L$11),"x","")</f>
        <v/>
      </c>
      <c r="S2037" s="47" t="str">
        <f>IF(AND($O2037=$Q$7,$B2037&lt;'111'!$L$11),"x","")</f>
        <v/>
      </c>
    </row>
    <row r="2038" spans="1:19" ht="15.75" customHeight="1">
      <c r="A2038" s="152" t="str">
        <f>IF(B2038&lt;&gt;"",IF(AND(B2038='IN-TC'!$S$4,OR(TH!N2038="1111",TH!O2038="1111")),TH!D2038,""),"")</f>
        <v/>
      </c>
      <c r="B2038" s="34">
        <f t="shared" si="73"/>
        <v>11</v>
      </c>
      <c r="C2038" s="35">
        <f t="shared" si="74"/>
        <v>42691</v>
      </c>
      <c r="D2038" s="212" t="s">
        <v>976</v>
      </c>
      <c r="E2038" s="35">
        <v>42691</v>
      </c>
      <c r="F2038" s="144" t="s">
        <v>1685</v>
      </c>
      <c r="G2038" s="191"/>
      <c r="H2038" s="198"/>
      <c r="I2038" s="186"/>
      <c r="J2038" s="186"/>
      <c r="K2038" s="185"/>
      <c r="L2038" s="186"/>
      <c r="M2038" s="36">
        <v>50000000</v>
      </c>
      <c r="N2038" s="37"/>
      <c r="O2038" s="37" t="s">
        <v>34</v>
      </c>
      <c r="P2038" s="47" t="str">
        <f>IF(AND('331-CT'!$F$5=TH!H2038,OR(N2038="331",O2038="331")),"x","")</f>
        <v/>
      </c>
      <c r="Q2038" s="47" t="str">
        <f>IF(AND(B2038='111'!$L$11,OR($N2038=$Q$7,$O2038=$Q$7)),"x","")</f>
        <v>x</v>
      </c>
      <c r="R2038" s="47" t="str">
        <f>IF(AND($N2038=$Q$7,$B2038&lt;'111'!$L$11),"x","")</f>
        <v/>
      </c>
      <c r="S2038" s="47" t="str">
        <f>IF(AND($O2038=$Q$7,$B2038&lt;'111'!$L$11),"x","")</f>
        <v/>
      </c>
    </row>
    <row r="2039" spans="1:19" ht="15.75" customHeight="1">
      <c r="A2039" s="152" t="str">
        <f>IF(B2039&lt;&gt;"",IF(AND(B2039='IN-TC'!$S$4,OR(TH!N2039="1111",TH!O2039="1111")),TH!D2039,""),"")</f>
        <v/>
      </c>
      <c r="B2039" s="34">
        <f t="shared" si="73"/>
        <v>11</v>
      </c>
      <c r="C2039" s="35">
        <f t="shared" si="74"/>
        <v>42691</v>
      </c>
      <c r="D2039" s="212" t="s">
        <v>977</v>
      </c>
      <c r="E2039" s="35">
        <v>42691</v>
      </c>
      <c r="F2039" s="144" t="s">
        <v>1686</v>
      </c>
      <c r="G2039" s="191"/>
      <c r="H2039" s="198"/>
      <c r="I2039" s="186"/>
      <c r="J2039" s="186"/>
      <c r="K2039" s="185"/>
      <c r="L2039" s="186"/>
      <c r="M2039" s="36">
        <v>2000000</v>
      </c>
      <c r="N2039" s="37"/>
      <c r="O2039" s="37" t="s">
        <v>34</v>
      </c>
      <c r="P2039" s="47" t="str">
        <f>IF(AND('331-CT'!$F$5=TH!H2039,OR(N2039="331",O2039="331")),"x","")</f>
        <v/>
      </c>
      <c r="Q2039" s="47" t="str">
        <f>IF(AND(B2039='111'!$L$11,OR($N2039=$Q$7,$O2039=$Q$7)),"x","")</f>
        <v>x</v>
      </c>
      <c r="R2039" s="47" t="str">
        <f>IF(AND($N2039=$Q$7,$B2039&lt;'111'!$L$11),"x","")</f>
        <v/>
      </c>
      <c r="S2039" s="47" t="str">
        <f>IF(AND($O2039=$Q$7,$B2039&lt;'111'!$L$11),"x","")</f>
        <v/>
      </c>
    </row>
    <row r="2040" spans="1:19" ht="15.75" customHeight="1">
      <c r="A2040" s="152" t="str">
        <f>IF(B2040&lt;&gt;"",IF(AND(B2040='IN-TC'!$S$4,OR(TH!N2040="1111",TH!O2040="1111")),TH!D2040,""),"")</f>
        <v/>
      </c>
      <c r="B2040" s="34">
        <f t="shared" si="73"/>
        <v>11</v>
      </c>
      <c r="C2040" s="35">
        <f t="shared" si="74"/>
        <v>42696</v>
      </c>
      <c r="D2040" s="212" t="s">
        <v>978</v>
      </c>
      <c r="E2040" s="35">
        <v>42696</v>
      </c>
      <c r="F2040" s="144" t="s">
        <v>1687</v>
      </c>
      <c r="G2040" s="191"/>
      <c r="H2040" s="198"/>
      <c r="I2040" s="186"/>
      <c r="J2040" s="186"/>
      <c r="K2040" s="185"/>
      <c r="L2040" s="186"/>
      <c r="M2040" s="36">
        <v>228000</v>
      </c>
      <c r="N2040" s="37"/>
      <c r="O2040" s="37" t="s">
        <v>34</v>
      </c>
      <c r="P2040" s="47" t="str">
        <f>IF(AND('331-CT'!$F$5=TH!H2040,OR(N2040="331",O2040="331")),"x","")</f>
        <v/>
      </c>
      <c r="Q2040" s="47" t="str">
        <f>IF(AND(B2040='111'!$L$11,OR($N2040=$Q$7,$O2040=$Q$7)),"x","")</f>
        <v>x</v>
      </c>
      <c r="R2040" s="47" t="str">
        <f>IF(AND($N2040=$Q$7,$B2040&lt;'111'!$L$11),"x","")</f>
        <v/>
      </c>
      <c r="S2040" s="47" t="str">
        <f>IF(AND($O2040=$Q$7,$B2040&lt;'111'!$L$11),"x","")</f>
        <v/>
      </c>
    </row>
    <row r="2041" spans="1:19" ht="15.75" customHeight="1">
      <c r="A2041" s="152" t="str">
        <f>IF(B2041&lt;&gt;"",IF(AND(B2041='IN-TC'!$S$4,OR(TH!N2041="1111",TH!O2041="1111")),TH!D2041,""),"")</f>
        <v/>
      </c>
      <c r="B2041" s="34">
        <f t="shared" si="73"/>
        <v>11</v>
      </c>
      <c r="C2041" s="35">
        <f t="shared" si="74"/>
        <v>42696</v>
      </c>
      <c r="D2041" s="212" t="s">
        <v>979</v>
      </c>
      <c r="E2041" s="35">
        <v>42696</v>
      </c>
      <c r="F2041" s="144" t="s">
        <v>671</v>
      </c>
      <c r="G2041" s="191"/>
      <c r="H2041" s="198"/>
      <c r="I2041" s="186"/>
      <c r="J2041" s="186"/>
      <c r="K2041" s="185"/>
      <c r="L2041" s="186"/>
      <c r="M2041" s="36">
        <v>500000</v>
      </c>
      <c r="N2041" s="37"/>
      <c r="O2041" s="37" t="s">
        <v>34</v>
      </c>
      <c r="P2041" s="47" t="str">
        <f>IF(AND('331-CT'!$F$5=TH!H2041,OR(N2041="331",O2041="331")),"x","")</f>
        <v/>
      </c>
      <c r="Q2041" s="47" t="str">
        <f>IF(AND(B2041='111'!$L$11,OR($N2041=$Q$7,$O2041=$Q$7)),"x","")</f>
        <v>x</v>
      </c>
      <c r="R2041" s="47" t="str">
        <f>IF(AND($N2041=$Q$7,$B2041&lt;'111'!$L$11),"x","")</f>
        <v/>
      </c>
      <c r="S2041" s="47" t="str">
        <f>IF(AND($O2041=$Q$7,$B2041&lt;'111'!$L$11),"x","")</f>
        <v/>
      </c>
    </row>
    <row r="2042" spans="1:19" ht="15.75" customHeight="1">
      <c r="A2042" s="152" t="str">
        <f>IF(B2042&lt;&gt;"",IF(AND(B2042='IN-TC'!$S$4,OR(TH!N2042="1111",TH!O2042="1111")),TH!D2042,""),"")</f>
        <v/>
      </c>
      <c r="B2042" s="34">
        <f t="shared" si="73"/>
        <v>1</v>
      </c>
      <c r="C2042" s="35">
        <f t="shared" si="74"/>
        <v>0</v>
      </c>
      <c r="D2042" s="212"/>
      <c r="E2042" s="35"/>
      <c r="F2042" s="144"/>
      <c r="G2042" s="191"/>
      <c r="H2042" s="198"/>
      <c r="I2042" s="186"/>
      <c r="J2042" s="186"/>
      <c r="K2042" s="185"/>
      <c r="L2042" s="186"/>
      <c r="M2042" s="36">
        <f t="shared" ref="M2042:M2054" si="75">ROUND(I2042*J2042,-3)</f>
        <v>0</v>
      </c>
      <c r="N2042" s="37"/>
      <c r="O2042" s="37" t="s">
        <v>34</v>
      </c>
      <c r="P2042" s="47" t="str">
        <f>IF(AND('331-CT'!$F$5=TH!H2042,OR(N2042="331",O2042="331")),"x","")</f>
        <v/>
      </c>
      <c r="Q2042" s="47" t="str">
        <f>IF(AND(B2042='111'!$L$11,OR($N2042=$Q$7,$O2042=$Q$7)),"x","")</f>
        <v/>
      </c>
      <c r="R2042" s="47" t="str">
        <f>IF(AND($N2042=$Q$7,$B2042&lt;'111'!$L$11),"x","")</f>
        <v/>
      </c>
      <c r="S2042" s="47" t="str">
        <f>IF(AND($O2042=$Q$7,$B2042&lt;'111'!$L$11),"x","")</f>
        <v>x</v>
      </c>
    </row>
    <row r="2043" spans="1:19" ht="15.75" customHeight="1">
      <c r="A2043" s="152" t="str">
        <f>IF(B2043&lt;&gt;"",IF(AND(B2043='IN-TC'!$S$4,OR(TH!N2043="1111",TH!O2043="1111")),TH!D2043,""),"")</f>
        <v/>
      </c>
      <c r="B2043" s="34">
        <f t="shared" si="73"/>
        <v>1</v>
      </c>
      <c r="C2043" s="35">
        <f t="shared" si="74"/>
        <v>0</v>
      </c>
      <c r="D2043" s="212"/>
      <c r="E2043" s="35"/>
      <c r="F2043" s="144"/>
      <c r="G2043" s="191"/>
      <c r="H2043" s="198"/>
      <c r="I2043" s="186"/>
      <c r="J2043" s="186"/>
      <c r="K2043" s="185"/>
      <c r="L2043" s="186"/>
      <c r="M2043" s="36">
        <f t="shared" si="75"/>
        <v>0</v>
      </c>
      <c r="N2043" s="37"/>
      <c r="O2043" s="37" t="s">
        <v>34</v>
      </c>
      <c r="P2043" s="47" t="str">
        <f>IF(AND('331-CT'!$F$5=TH!H2043,OR(N2043="331",O2043="331")),"x","")</f>
        <v/>
      </c>
      <c r="Q2043" s="47" t="str">
        <f>IF(AND(B2043='111'!$L$11,OR($N2043=$Q$7,$O2043=$Q$7)),"x","")</f>
        <v/>
      </c>
      <c r="R2043" s="47" t="str">
        <f>IF(AND($N2043=$Q$7,$B2043&lt;'111'!$L$11),"x","")</f>
        <v/>
      </c>
      <c r="S2043" s="47" t="str">
        <f>IF(AND($O2043=$Q$7,$B2043&lt;'111'!$L$11),"x","")</f>
        <v>x</v>
      </c>
    </row>
    <row r="2044" spans="1:19" ht="15.75" customHeight="1">
      <c r="A2044" s="152" t="str">
        <f>IF(B2044&lt;&gt;"",IF(AND(B2044='IN-TC'!$S$4,OR(TH!N2044="1111",TH!O2044="1111")),TH!D2044,""),"")</f>
        <v/>
      </c>
      <c r="B2044" s="34">
        <f t="shared" si="73"/>
        <v>1</v>
      </c>
      <c r="C2044" s="35">
        <f t="shared" si="74"/>
        <v>0</v>
      </c>
      <c r="D2044" s="212"/>
      <c r="E2044" s="35"/>
      <c r="F2044" s="144"/>
      <c r="G2044" s="191"/>
      <c r="H2044" s="198"/>
      <c r="I2044" s="186"/>
      <c r="J2044" s="186"/>
      <c r="K2044" s="185"/>
      <c r="L2044" s="186"/>
      <c r="M2044" s="36">
        <f t="shared" si="75"/>
        <v>0</v>
      </c>
      <c r="N2044" s="37"/>
      <c r="O2044" s="37" t="s">
        <v>34</v>
      </c>
      <c r="P2044" s="47" t="str">
        <f>IF(AND('331-CT'!$F$5=TH!H2044,OR(N2044="331",O2044="331")),"x","")</f>
        <v/>
      </c>
      <c r="Q2044" s="47" t="str">
        <f>IF(AND(B2044='111'!$L$11,OR($N2044=$Q$7,$O2044=$Q$7)),"x","")</f>
        <v/>
      </c>
      <c r="R2044" s="47" t="str">
        <f>IF(AND($N2044=$Q$7,$B2044&lt;'111'!$L$11),"x","")</f>
        <v/>
      </c>
      <c r="S2044" s="47" t="str">
        <f>IF(AND($O2044=$Q$7,$B2044&lt;'111'!$L$11),"x","")</f>
        <v>x</v>
      </c>
    </row>
    <row r="2045" spans="1:19" ht="15.75" customHeight="1">
      <c r="A2045" s="152" t="str">
        <f>IF(B2045&lt;&gt;"",IF(AND(B2045='IN-TC'!$S$4,OR(TH!N2045="1111",TH!O2045="1111")),TH!D2045,""),"")</f>
        <v/>
      </c>
      <c r="B2045" s="34">
        <f t="shared" si="73"/>
        <v>1</v>
      </c>
      <c r="C2045" s="35">
        <f t="shared" si="74"/>
        <v>0</v>
      </c>
      <c r="D2045" s="212"/>
      <c r="E2045" s="35"/>
      <c r="F2045" s="144"/>
      <c r="G2045" s="191"/>
      <c r="H2045" s="198"/>
      <c r="I2045" s="186"/>
      <c r="J2045" s="186"/>
      <c r="K2045" s="185"/>
      <c r="L2045" s="186"/>
      <c r="M2045" s="36">
        <f t="shared" si="75"/>
        <v>0</v>
      </c>
      <c r="N2045" s="37"/>
      <c r="O2045" s="37" t="s">
        <v>34</v>
      </c>
      <c r="P2045" s="47" t="str">
        <f>IF(AND('331-CT'!$F$5=TH!H2045,OR(N2045="331",O2045="331")),"x","")</f>
        <v/>
      </c>
      <c r="Q2045" s="47" t="str">
        <f>IF(AND(B2045='111'!$L$11,OR($N2045=$Q$7,$O2045=$Q$7)),"x","")</f>
        <v/>
      </c>
      <c r="R2045" s="47" t="str">
        <f>IF(AND($N2045=$Q$7,$B2045&lt;'111'!$L$11),"x","")</f>
        <v/>
      </c>
      <c r="S2045" s="47" t="str">
        <f>IF(AND($O2045=$Q$7,$B2045&lt;'111'!$L$11),"x","")</f>
        <v>x</v>
      </c>
    </row>
    <row r="2046" spans="1:19" ht="15.75" customHeight="1">
      <c r="A2046" s="152" t="str">
        <f>IF(B2046&lt;&gt;"",IF(AND(B2046='IN-TC'!$S$4,OR(TH!N2046="1111",TH!O2046="1111")),TH!D2046,""),"")</f>
        <v/>
      </c>
      <c r="B2046" s="34">
        <f t="shared" si="73"/>
        <v>1</v>
      </c>
      <c r="C2046" s="35">
        <f t="shared" si="74"/>
        <v>0</v>
      </c>
      <c r="D2046" s="212"/>
      <c r="E2046" s="35"/>
      <c r="F2046" s="144"/>
      <c r="G2046" s="191"/>
      <c r="H2046" s="198"/>
      <c r="I2046" s="186"/>
      <c r="J2046" s="186"/>
      <c r="K2046" s="185"/>
      <c r="L2046" s="186"/>
      <c r="M2046" s="36">
        <f t="shared" si="75"/>
        <v>0</v>
      </c>
      <c r="N2046" s="37"/>
      <c r="O2046" s="37" t="s">
        <v>34</v>
      </c>
      <c r="P2046" s="47" t="str">
        <f>IF(AND('331-CT'!$F$5=TH!H2046,OR(N2046="331",O2046="331")),"x","")</f>
        <v/>
      </c>
      <c r="Q2046" s="47" t="str">
        <f>IF(AND(B2046='111'!$L$11,OR($N2046=$Q$7,$O2046=$Q$7)),"x","")</f>
        <v/>
      </c>
      <c r="R2046" s="47" t="str">
        <f>IF(AND($N2046=$Q$7,$B2046&lt;'111'!$L$11),"x","")</f>
        <v/>
      </c>
      <c r="S2046" s="47" t="str">
        <f>IF(AND($O2046=$Q$7,$B2046&lt;'111'!$L$11),"x","")</f>
        <v>x</v>
      </c>
    </row>
    <row r="2047" spans="1:19" ht="15.75" customHeight="1">
      <c r="A2047" s="152" t="str">
        <f>IF(B2047&lt;&gt;"",IF(AND(B2047='IN-TC'!$S$4,OR(TH!N2047="1111",TH!O2047="1111")),TH!D2047,""),"")</f>
        <v/>
      </c>
      <c r="B2047" s="34">
        <f t="shared" si="73"/>
        <v>1</v>
      </c>
      <c r="C2047" s="35">
        <f t="shared" si="74"/>
        <v>0</v>
      </c>
      <c r="D2047" s="212"/>
      <c r="E2047" s="35"/>
      <c r="F2047" s="144"/>
      <c r="G2047" s="191"/>
      <c r="H2047" s="198"/>
      <c r="I2047" s="186"/>
      <c r="J2047" s="186"/>
      <c r="K2047" s="185"/>
      <c r="L2047" s="186"/>
      <c r="M2047" s="36">
        <f t="shared" si="75"/>
        <v>0</v>
      </c>
      <c r="N2047" s="37"/>
      <c r="O2047" s="37" t="s">
        <v>34</v>
      </c>
      <c r="P2047" s="47" t="str">
        <f>IF(AND('331-CT'!$F$5=TH!H2047,OR(N2047="331",O2047="331")),"x","")</f>
        <v/>
      </c>
      <c r="Q2047" s="47" t="str">
        <f>IF(AND(B2047='111'!$L$11,OR($N2047=$Q$7,$O2047=$Q$7)),"x","")</f>
        <v/>
      </c>
      <c r="R2047" s="47" t="str">
        <f>IF(AND($N2047=$Q$7,$B2047&lt;'111'!$L$11),"x","")</f>
        <v/>
      </c>
      <c r="S2047" s="47" t="str">
        <f>IF(AND($O2047=$Q$7,$B2047&lt;'111'!$L$11),"x","")</f>
        <v>x</v>
      </c>
    </row>
    <row r="2048" spans="1:19" ht="15.75" customHeight="1">
      <c r="A2048" s="152" t="str">
        <f>IF(B2048&lt;&gt;"",IF(AND(B2048='IN-TC'!$S$4,OR(TH!N2048="1111",TH!O2048="1111")),TH!D2048,""),"")</f>
        <v/>
      </c>
      <c r="B2048" s="34">
        <f t="shared" si="73"/>
        <v>1</v>
      </c>
      <c r="C2048" s="35">
        <f t="shared" si="74"/>
        <v>0</v>
      </c>
      <c r="D2048" s="212"/>
      <c r="E2048" s="35"/>
      <c r="F2048" s="144"/>
      <c r="G2048" s="191"/>
      <c r="H2048" s="198"/>
      <c r="I2048" s="186"/>
      <c r="J2048" s="186"/>
      <c r="K2048" s="185"/>
      <c r="L2048" s="186"/>
      <c r="M2048" s="36">
        <f t="shared" si="75"/>
        <v>0</v>
      </c>
      <c r="N2048" s="37"/>
      <c r="O2048" s="37" t="s">
        <v>34</v>
      </c>
      <c r="P2048" s="47" t="str">
        <f>IF(AND('331-CT'!$F$5=TH!H2048,OR(N2048="331",O2048="331")),"x","")</f>
        <v/>
      </c>
      <c r="Q2048" s="47" t="str">
        <f>IF(AND(B2048='111'!$L$11,OR($N2048=$Q$7,$O2048=$Q$7)),"x","")</f>
        <v/>
      </c>
      <c r="R2048" s="47" t="str">
        <f>IF(AND($N2048=$Q$7,$B2048&lt;'111'!$L$11),"x","")</f>
        <v/>
      </c>
      <c r="S2048" s="47" t="str">
        <f>IF(AND($O2048=$Q$7,$B2048&lt;'111'!$L$11),"x","")</f>
        <v>x</v>
      </c>
    </row>
    <row r="2049" spans="1:19" ht="15.75" customHeight="1">
      <c r="A2049" s="152" t="str">
        <f>IF(B2049&lt;&gt;"",IF(AND(B2049='IN-TC'!$S$4,OR(TH!N2049="1111",TH!O2049="1111")),TH!D2049,""),"")</f>
        <v/>
      </c>
      <c r="B2049" s="34">
        <f t="shared" si="73"/>
        <v>1</v>
      </c>
      <c r="C2049" s="35">
        <f t="shared" si="74"/>
        <v>0</v>
      </c>
      <c r="D2049" s="212"/>
      <c r="E2049" s="35"/>
      <c r="F2049" s="144"/>
      <c r="G2049" s="191"/>
      <c r="H2049" s="198"/>
      <c r="I2049" s="186"/>
      <c r="J2049" s="186"/>
      <c r="K2049" s="185"/>
      <c r="L2049" s="186"/>
      <c r="M2049" s="36">
        <f t="shared" si="75"/>
        <v>0</v>
      </c>
      <c r="N2049" s="37"/>
      <c r="O2049" s="37" t="s">
        <v>34</v>
      </c>
      <c r="P2049" s="47" t="str">
        <f>IF(AND('331-CT'!$F$5=TH!H2049,OR(N2049="331",O2049="331")),"x","")</f>
        <v/>
      </c>
      <c r="Q2049" s="47" t="str">
        <f>IF(AND(B2049='111'!$L$11,OR($N2049=$Q$7,$O2049=$Q$7)),"x","")</f>
        <v/>
      </c>
      <c r="R2049" s="47" t="str">
        <f>IF(AND($N2049=$Q$7,$B2049&lt;'111'!$L$11),"x","")</f>
        <v/>
      </c>
      <c r="S2049" s="47" t="str">
        <f>IF(AND($O2049=$Q$7,$B2049&lt;'111'!$L$11),"x","")</f>
        <v>x</v>
      </c>
    </row>
    <row r="2050" spans="1:19" ht="15.75" customHeight="1">
      <c r="A2050" s="152" t="str">
        <f>IF(B2050&lt;&gt;"",IF(AND(B2050='IN-TC'!$S$4,OR(TH!N2050="1111",TH!O2050="1111")),TH!D2050,""),"")</f>
        <v/>
      </c>
      <c r="B2050" s="34">
        <f t="shared" si="73"/>
        <v>1</v>
      </c>
      <c r="C2050" s="35">
        <f t="shared" si="74"/>
        <v>0</v>
      </c>
      <c r="D2050" s="212"/>
      <c r="E2050" s="35"/>
      <c r="F2050" s="144"/>
      <c r="G2050" s="191"/>
      <c r="H2050" s="198"/>
      <c r="I2050" s="186"/>
      <c r="J2050" s="186"/>
      <c r="K2050" s="185"/>
      <c r="L2050" s="186"/>
      <c r="M2050" s="36">
        <f t="shared" si="75"/>
        <v>0</v>
      </c>
      <c r="N2050" s="37"/>
      <c r="O2050" s="37" t="s">
        <v>34</v>
      </c>
      <c r="P2050" s="47" t="str">
        <f>IF(AND('331-CT'!$F$5=TH!H2050,OR(N2050="331",O2050="331")),"x","")</f>
        <v/>
      </c>
      <c r="Q2050" s="47" t="str">
        <f>IF(AND(B2050='111'!$L$11,OR($N2050=$Q$7,$O2050=$Q$7)),"x","")</f>
        <v/>
      </c>
      <c r="R2050" s="47" t="str">
        <f>IF(AND($N2050=$Q$7,$B2050&lt;'111'!$L$11),"x","")</f>
        <v/>
      </c>
      <c r="S2050" s="47" t="str">
        <f>IF(AND($O2050=$Q$7,$B2050&lt;'111'!$L$11),"x","")</f>
        <v>x</v>
      </c>
    </row>
    <row r="2051" spans="1:19" ht="15.75" customHeight="1">
      <c r="A2051" s="152" t="str">
        <f>IF(B2051&lt;&gt;"",IF(AND(B2051='IN-TC'!$S$4,OR(TH!N2051="1111",TH!O2051="1111")),TH!D2051,""),"")</f>
        <v/>
      </c>
      <c r="B2051" s="34">
        <f t="shared" si="73"/>
        <v>1</v>
      </c>
      <c r="C2051" s="35">
        <f t="shared" si="74"/>
        <v>0</v>
      </c>
      <c r="D2051" s="212"/>
      <c r="E2051" s="35"/>
      <c r="F2051" s="144"/>
      <c r="G2051" s="191"/>
      <c r="H2051" s="198"/>
      <c r="I2051" s="186"/>
      <c r="J2051" s="186"/>
      <c r="K2051" s="185"/>
      <c r="L2051" s="186"/>
      <c r="M2051" s="36">
        <f t="shared" si="75"/>
        <v>0</v>
      </c>
      <c r="N2051" s="37"/>
      <c r="O2051" s="37" t="s">
        <v>34</v>
      </c>
      <c r="P2051" s="47" t="str">
        <f>IF(AND('331-CT'!$F$5=TH!H2051,OR(N2051="331",O2051="331")),"x","")</f>
        <v/>
      </c>
      <c r="Q2051" s="47" t="str">
        <f>IF(AND(B2051='111'!$L$11,OR($N2051=$Q$7,$O2051=$Q$7)),"x","")</f>
        <v/>
      </c>
      <c r="R2051" s="47" t="str">
        <f>IF(AND($N2051=$Q$7,$B2051&lt;'111'!$L$11),"x","")</f>
        <v/>
      </c>
      <c r="S2051" s="47" t="str">
        <f>IF(AND($O2051=$Q$7,$B2051&lt;'111'!$L$11),"x","")</f>
        <v>x</v>
      </c>
    </row>
    <row r="2052" spans="1:19" ht="15.75" customHeight="1">
      <c r="A2052" s="152" t="str">
        <f>IF(B2052&lt;&gt;"",IF(AND(B2052='IN-TC'!$S$4,OR(TH!N2052="1111",TH!O2052="1111")),TH!D2052,""),"")</f>
        <v/>
      </c>
      <c r="B2052" s="34">
        <f t="shared" si="73"/>
        <v>1</v>
      </c>
      <c r="C2052" s="35">
        <f t="shared" si="74"/>
        <v>0</v>
      </c>
      <c r="D2052" s="212"/>
      <c r="E2052" s="35"/>
      <c r="F2052" s="144"/>
      <c r="G2052" s="191"/>
      <c r="H2052" s="198"/>
      <c r="I2052" s="186"/>
      <c r="J2052" s="186"/>
      <c r="K2052" s="185"/>
      <c r="L2052" s="186"/>
      <c r="M2052" s="36">
        <f t="shared" si="75"/>
        <v>0</v>
      </c>
      <c r="N2052" s="37"/>
      <c r="O2052" s="37" t="s">
        <v>34</v>
      </c>
      <c r="P2052" s="47" t="str">
        <f>IF(AND('331-CT'!$F$5=TH!H2052,OR(N2052="331",O2052="331")),"x","")</f>
        <v/>
      </c>
      <c r="Q2052" s="47" t="str">
        <f>IF(AND(B2052='111'!$L$11,OR($N2052=$Q$7,$O2052=$Q$7)),"x","")</f>
        <v/>
      </c>
      <c r="R2052" s="47" t="str">
        <f>IF(AND($N2052=$Q$7,$B2052&lt;'111'!$L$11),"x","")</f>
        <v/>
      </c>
      <c r="S2052" s="47" t="str">
        <f>IF(AND($O2052=$Q$7,$B2052&lt;'111'!$L$11),"x","")</f>
        <v>x</v>
      </c>
    </row>
    <row r="2053" spans="1:19" ht="15.75" customHeight="1">
      <c r="A2053" s="152" t="str">
        <f>IF(B2053&lt;&gt;"",IF(AND(B2053='IN-TC'!$S$4,OR(TH!N2053="1111",TH!O2053="1111")),TH!D2053,""),"")</f>
        <v/>
      </c>
      <c r="B2053" s="34">
        <f t="shared" si="73"/>
        <v>1</v>
      </c>
      <c r="C2053" s="35">
        <f t="shared" si="74"/>
        <v>0</v>
      </c>
      <c r="D2053" s="212"/>
      <c r="E2053" s="35"/>
      <c r="F2053" s="144"/>
      <c r="G2053" s="191"/>
      <c r="H2053" s="198"/>
      <c r="I2053" s="186"/>
      <c r="J2053" s="186"/>
      <c r="K2053" s="185"/>
      <c r="L2053" s="186"/>
      <c r="M2053" s="36">
        <f t="shared" si="75"/>
        <v>0</v>
      </c>
      <c r="N2053" s="37"/>
      <c r="O2053" s="37" t="s">
        <v>34</v>
      </c>
      <c r="P2053" s="47" t="str">
        <f>IF(AND('331-CT'!$F$5=TH!H2053,OR(N2053="331",O2053="331")),"x","")</f>
        <v/>
      </c>
      <c r="Q2053" s="47" t="str">
        <f>IF(AND(B2053='111'!$L$11,OR($N2053=$Q$7,$O2053=$Q$7)),"x","")</f>
        <v/>
      </c>
      <c r="R2053" s="47" t="str">
        <f>IF(AND($N2053=$Q$7,$B2053&lt;'111'!$L$11),"x","")</f>
        <v/>
      </c>
      <c r="S2053" s="47" t="str">
        <f>IF(AND($O2053=$Q$7,$B2053&lt;'111'!$L$11),"x","")</f>
        <v>x</v>
      </c>
    </row>
    <row r="2054" spans="1:19" ht="15.75" customHeight="1">
      <c r="A2054" s="152" t="str">
        <f>IF(B2054&lt;&gt;"",IF(AND(B2054='IN-TC'!$S$4,OR(TH!N2054="1111",TH!O2054="1111")),TH!D2054,""),"")</f>
        <v/>
      </c>
      <c r="B2054" s="34">
        <f t="shared" si="73"/>
        <v>1</v>
      </c>
      <c r="C2054" s="35">
        <f t="shared" si="74"/>
        <v>0</v>
      </c>
      <c r="D2054" s="212"/>
      <c r="E2054" s="35"/>
      <c r="F2054" s="144"/>
      <c r="G2054" s="191"/>
      <c r="H2054" s="198"/>
      <c r="I2054" s="186"/>
      <c r="J2054" s="186"/>
      <c r="K2054" s="185"/>
      <c r="L2054" s="186"/>
      <c r="M2054" s="36">
        <f t="shared" si="75"/>
        <v>0</v>
      </c>
      <c r="N2054" s="37"/>
      <c r="O2054" s="37" t="s">
        <v>34</v>
      </c>
      <c r="P2054" s="47" t="str">
        <f>IF(AND('331-CT'!$F$5=TH!H2054,OR(N2054="331",O2054="331")),"x","")</f>
        <v/>
      </c>
      <c r="Q2054" s="47" t="str">
        <f>IF(AND(B2054='111'!$L$11,OR($N2054=$Q$7,$O2054=$Q$7)),"x","")</f>
        <v/>
      </c>
      <c r="R2054" s="47" t="str">
        <f>IF(AND($N2054=$Q$7,$B2054&lt;'111'!$L$11),"x","")</f>
        <v/>
      </c>
      <c r="S2054" s="47" t="str">
        <f>IF(AND($O2054=$Q$7,$B2054&lt;'111'!$L$11),"x","")</f>
        <v>x</v>
      </c>
    </row>
    <row r="2055" spans="1:19" ht="15.75" customHeight="1">
      <c r="A2055" s="152" t="str">
        <f>IF(B2055&lt;&gt;"",IF(AND(B2055='IN-TC'!$S$4,OR(TH!N2055="1111",TH!O2055="1111")),TH!D2055,""),"")</f>
        <v/>
      </c>
      <c r="B2055" s="34">
        <f t="shared" ref="B2055:B2067" si="76">IF(C2055&lt;&gt;"",MONTH(C2055),"")</f>
        <v>1</v>
      </c>
      <c r="C2055" s="35">
        <f t="shared" ref="C2055:C2067" si="77">E2055</f>
        <v>0</v>
      </c>
      <c r="D2055" s="212"/>
      <c r="E2055" s="35"/>
      <c r="F2055" s="144"/>
      <c r="G2055" s="191"/>
      <c r="H2055" s="198"/>
      <c r="I2055" s="186"/>
      <c r="J2055" s="186"/>
      <c r="K2055" s="185"/>
      <c r="L2055" s="186"/>
      <c r="M2055" s="36">
        <f t="shared" ref="M2055:M2067" si="78">ROUND(I2055*J2055,-3)</f>
        <v>0</v>
      </c>
      <c r="N2055" s="37"/>
      <c r="O2055" s="37" t="s">
        <v>34</v>
      </c>
      <c r="P2055" s="47" t="str">
        <f>IF(AND('331-CT'!$F$5=TH!H2055,OR(N2055="331",O2055="331")),"x","")</f>
        <v/>
      </c>
      <c r="Q2055" s="47" t="str">
        <f>IF(AND(B2055='111'!$L$11,OR($N2055=$Q$7,$O2055=$Q$7)),"x","")</f>
        <v/>
      </c>
      <c r="R2055" s="47" t="str">
        <f>IF(AND($N2055=$Q$7,$B2055&lt;'111'!$L$11),"x","")</f>
        <v/>
      </c>
      <c r="S2055" s="47" t="str">
        <f>IF(AND($O2055=$Q$7,$B2055&lt;'111'!$L$11),"x","")</f>
        <v>x</v>
      </c>
    </row>
    <row r="2056" spans="1:19" ht="15.75" customHeight="1">
      <c r="A2056" s="152" t="str">
        <f>IF(B2056&lt;&gt;"",IF(AND(B2056='IN-TC'!$S$4,OR(TH!N2056="1111",TH!O2056="1111")),TH!D2056,""),"")</f>
        <v/>
      </c>
      <c r="B2056" s="34">
        <f t="shared" si="76"/>
        <v>1</v>
      </c>
      <c r="C2056" s="35">
        <f t="shared" si="77"/>
        <v>0</v>
      </c>
      <c r="D2056" s="212"/>
      <c r="E2056" s="35"/>
      <c r="F2056" s="144"/>
      <c r="G2056" s="191"/>
      <c r="H2056" s="198"/>
      <c r="I2056" s="186"/>
      <c r="J2056" s="186"/>
      <c r="K2056" s="185"/>
      <c r="L2056" s="186"/>
      <c r="M2056" s="36">
        <f t="shared" si="78"/>
        <v>0</v>
      </c>
      <c r="N2056" s="37"/>
      <c r="O2056" s="37" t="s">
        <v>34</v>
      </c>
      <c r="P2056" s="47" t="str">
        <f>IF(AND('331-CT'!$F$5=TH!H2056,OR(N2056="331",O2056="331")),"x","")</f>
        <v/>
      </c>
      <c r="Q2056" s="47" t="str">
        <f>IF(AND(B2056='111'!$L$11,OR($N2056=$Q$7,$O2056=$Q$7)),"x","")</f>
        <v/>
      </c>
      <c r="R2056" s="47" t="str">
        <f>IF(AND($N2056=$Q$7,$B2056&lt;'111'!$L$11),"x","")</f>
        <v/>
      </c>
      <c r="S2056" s="47" t="str">
        <f>IF(AND($O2056=$Q$7,$B2056&lt;'111'!$L$11),"x","")</f>
        <v>x</v>
      </c>
    </row>
    <row r="2057" spans="1:19" ht="15.75" customHeight="1">
      <c r="A2057" s="152" t="str">
        <f>IF(B2057&lt;&gt;"",IF(AND(B2057='IN-TC'!$S$4,OR(TH!N2057="1111",TH!O2057="1111")),TH!D2057,""),"")</f>
        <v/>
      </c>
      <c r="B2057" s="34">
        <f t="shared" si="76"/>
        <v>1</v>
      </c>
      <c r="C2057" s="35">
        <f t="shared" si="77"/>
        <v>0</v>
      </c>
      <c r="D2057" s="212"/>
      <c r="E2057" s="35"/>
      <c r="F2057" s="144"/>
      <c r="G2057" s="191"/>
      <c r="H2057" s="198"/>
      <c r="I2057" s="186"/>
      <c r="J2057" s="186"/>
      <c r="K2057" s="185"/>
      <c r="L2057" s="186"/>
      <c r="M2057" s="36">
        <f t="shared" si="78"/>
        <v>0</v>
      </c>
      <c r="N2057" s="37"/>
      <c r="O2057" s="37" t="s">
        <v>34</v>
      </c>
      <c r="P2057" s="47" t="str">
        <f>IF(AND('331-CT'!$F$5=TH!H2057,OR(N2057="331",O2057="331")),"x","")</f>
        <v/>
      </c>
      <c r="Q2057" s="47" t="str">
        <f>IF(AND(B2057='111'!$L$11,OR($N2057=$Q$7,$O2057=$Q$7)),"x","")</f>
        <v/>
      </c>
      <c r="R2057" s="47" t="str">
        <f>IF(AND($N2057=$Q$7,$B2057&lt;'111'!$L$11),"x","")</f>
        <v/>
      </c>
      <c r="S2057" s="47" t="str">
        <f>IF(AND($O2057=$Q$7,$B2057&lt;'111'!$L$11),"x","")</f>
        <v>x</v>
      </c>
    </row>
    <row r="2058" spans="1:19" ht="15.75" customHeight="1">
      <c r="A2058" s="152" t="str">
        <f>IF(B2058&lt;&gt;"",IF(AND(B2058='IN-TC'!$S$4,OR(TH!N2058="1111",TH!O2058="1111")),TH!D2058,""),"")</f>
        <v/>
      </c>
      <c r="B2058" s="34">
        <f t="shared" si="76"/>
        <v>1</v>
      </c>
      <c r="C2058" s="35">
        <f t="shared" si="77"/>
        <v>0</v>
      </c>
      <c r="D2058" s="212"/>
      <c r="E2058" s="35"/>
      <c r="F2058" s="144"/>
      <c r="G2058" s="191"/>
      <c r="H2058" s="198"/>
      <c r="I2058" s="186"/>
      <c r="J2058" s="186"/>
      <c r="K2058" s="185"/>
      <c r="L2058" s="186"/>
      <c r="M2058" s="36">
        <f t="shared" si="78"/>
        <v>0</v>
      </c>
      <c r="N2058" s="37"/>
      <c r="O2058" s="37" t="s">
        <v>34</v>
      </c>
      <c r="P2058" s="47" t="str">
        <f>IF(AND('331-CT'!$F$5=TH!H2058,OR(N2058="331",O2058="331")),"x","")</f>
        <v/>
      </c>
      <c r="Q2058" s="47" t="str">
        <f>IF(AND(B2058='111'!$L$11,OR($N2058=$Q$7,$O2058=$Q$7)),"x","")</f>
        <v/>
      </c>
      <c r="R2058" s="47" t="str">
        <f>IF(AND($N2058=$Q$7,$B2058&lt;'111'!$L$11),"x","")</f>
        <v/>
      </c>
      <c r="S2058" s="47" t="str">
        <f>IF(AND($O2058=$Q$7,$B2058&lt;'111'!$L$11),"x","")</f>
        <v>x</v>
      </c>
    </row>
    <row r="2059" spans="1:19" ht="15.75" customHeight="1">
      <c r="A2059" s="152" t="str">
        <f>IF(B2059&lt;&gt;"",IF(AND(B2059='IN-TC'!$S$4,OR(TH!N2059="1111",TH!O2059="1111")),TH!D2059,""),"")</f>
        <v/>
      </c>
      <c r="B2059" s="34">
        <f t="shared" si="76"/>
        <v>1</v>
      </c>
      <c r="C2059" s="35">
        <f t="shared" si="77"/>
        <v>0</v>
      </c>
      <c r="D2059" s="212"/>
      <c r="E2059" s="35"/>
      <c r="F2059" s="144"/>
      <c r="G2059" s="191"/>
      <c r="H2059" s="198"/>
      <c r="I2059" s="186"/>
      <c r="J2059" s="186"/>
      <c r="K2059" s="185"/>
      <c r="L2059" s="186"/>
      <c r="M2059" s="36">
        <f t="shared" si="78"/>
        <v>0</v>
      </c>
      <c r="N2059" s="37"/>
      <c r="O2059" s="37" t="s">
        <v>34</v>
      </c>
      <c r="P2059" s="47" t="str">
        <f>IF(AND('331-CT'!$F$5=TH!H2059,OR(N2059="331",O2059="331")),"x","")</f>
        <v/>
      </c>
      <c r="Q2059" s="47" t="str">
        <f>IF(AND(B2059='111'!$L$11,OR($N2059=$Q$7,$O2059=$Q$7)),"x","")</f>
        <v/>
      </c>
      <c r="R2059" s="47" t="str">
        <f>IF(AND($N2059=$Q$7,$B2059&lt;'111'!$L$11),"x","")</f>
        <v/>
      </c>
      <c r="S2059" s="47" t="str">
        <f>IF(AND($O2059=$Q$7,$B2059&lt;'111'!$L$11),"x","")</f>
        <v>x</v>
      </c>
    </row>
    <row r="2060" spans="1:19" ht="15.75" customHeight="1">
      <c r="A2060" s="152" t="str">
        <f>IF(B2060&lt;&gt;"",IF(AND(B2060='IN-TC'!$S$4,OR(TH!N2060="1111",TH!O2060="1111")),TH!D2060,""),"")</f>
        <v/>
      </c>
      <c r="B2060" s="34">
        <f t="shared" si="76"/>
        <v>1</v>
      </c>
      <c r="C2060" s="35">
        <f t="shared" si="77"/>
        <v>0</v>
      </c>
      <c r="D2060" s="212"/>
      <c r="E2060" s="35"/>
      <c r="F2060" s="144"/>
      <c r="G2060" s="191"/>
      <c r="H2060" s="198"/>
      <c r="I2060" s="186"/>
      <c r="J2060" s="186"/>
      <c r="K2060" s="185"/>
      <c r="L2060" s="186"/>
      <c r="M2060" s="36">
        <f t="shared" si="78"/>
        <v>0</v>
      </c>
      <c r="N2060" s="37"/>
      <c r="O2060" s="37" t="s">
        <v>34</v>
      </c>
      <c r="P2060" s="47" t="str">
        <f>IF(AND('331-CT'!$F$5=TH!H2060,OR(N2060="331",O2060="331")),"x","")</f>
        <v/>
      </c>
      <c r="Q2060" s="47" t="str">
        <f>IF(AND(B2060='111'!$L$11,OR($N2060=$Q$7,$O2060=$Q$7)),"x","")</f>
        <v/>
      </c>
      <c r="R2060" s="47" t="str">
        <f>IF(AND($N2060=$Q$7,$B2060&lt;'111'!$L$11),"x","")</f>
        <v/>
      </c>
      <c r="S2060" s="47" t="str">
        <f>IF(AND($O2060=$Q$7,$B2060&lt;'111'!$L$11),"x","")</f>
        <v>x</v>
      </c>
    </row>
    <row r="2061" spans="1:19" ht="15.75" customHeight="1">
      <c r="A2061" s="152" t="str">
        <f>IF(B2061&lt;&gt;"",IF(AND(B2061='IN-TC'!$S$4,OR(TH!N2061="1111",TH!O2061="1111")),TH!D2061,""),"")</f>
        <v/>
      </c>
      <c r="B2061" s="34">
        <f t="shared" si="76"/>
        <v>1</v>
      </c>
      <c r="C2061" s="35">
        <f t="shared" si="77"/>
        <v>0</v>
      </c>
      <c r="D2061" s="212"/>
      <c r="E2061" s="35"/>
      <c r="F2061" s="144"/>
      <c r="G2061" s="191"/>
      <c r="H2061" s="198"/>
      <c r="I2061" s="186"/>
      <c r="J2061" s="186"/>
      <c r="K2061" s="185"/>
      <c r="L2061" s="186"/>
      <c r="M2061" s="36">
        <f t="shared" si="78"/>
        <v>0</v>
      </c>
      <c r="N2061" s="37"/>
      <c r="O2061" s="37" t="s">
        <v>34</v>
      </c>
      <c r="P2061" s="47" t="str">
        <f>IF(AND('331-CT'!$F$5=TH!H2061,OR(N2061="331",O2061="331")),"x","")</f>
        <v/>
      </c>
      <c r="Q2061" s="47" t="str">
        <f>IF(AND(B2061='111'!$L$11,OR($N2061=$Q$7,$O2061=$Q$7)),"x","")</f>
        <v/>
      </c>
      <c r="R2061" s="47" t="str">
        <f>IF(AND($N2061=$Q$7,$B2061&lt;'111'!$L$11),"x","")</f>
        <v/>
      </c>
      <c r="S2061" s="47" t="str">
        <f>IF(AND($O2061=$Q$7,$B2061&lt;'111'!$L$11),"x","")</f>
        <v>x</v>
      </c>
    </row>
    <row r="2062" spans="1:19" ht="15.75" customHeight="1">
      <c r="A2062" s="152" t="str">
        <f>IF(B2062&lt;&gt;"",IF(AND(B2062='IN-TC'!$S$4,OR(TH!N2062="1111",TH!O2062="1111")),TH!D2062,""),"")</f>
        <v/>
      </c>
      <c r="B2062" s="34">
        <f t="shared" si="76"/>
        <v>1</v>
      </c>
      <c r="C2062" s="35">
        <f t="shared" si="77"/>
        <v>0</v>
      </c>
      <c r="D2062" s="212"/>
      <c r="E2062" s="35"/>
      <c r="F2062" s="144"/>
      <c r="G2062" s="191"/>
      <c r="H2062" s="198"/>
      <c r="I2062" s="186"/>
      <c r="J2062" s="186"/>
      <c r="K2062" s="185"/>
      <c r="L2062" s="186"/>
      <c r="M2062" s="36">
        <f t="shared" si="78"/>
        <v>0</v>
      </c>
      <c r="N2062" s="37"/>
      <c r="O2062" s="37" t="s">
        <v>34</v>
      </c>
      <c r="P2062" s="47" t="str">
        <f>IF(AND('331-CT'!$F$5=TH!H2062,OR(N2062="331",O2062="331")),"x","")</f>
        <v/>
      </c>
      <c r="Q2062" s="47" t="str">
        <f>IF(AND(B2062='111'!$L$11,OR($N2062=$Q$7,$O2062=$Q$7)),"x","")</f>
        <v/>
      </c>
      <c r="R2062" s="47" t="str">
        <f>IF(AND($N2062=$Q$7,$B2062&lt;'111'!$L$11),"x","")</f>
        <v/>
      </c>
      <c r="S2062" s="47" t="str">
        <f>IF(AND($O2062=$Q$7,$B2062&lt;'111'!$L$11),"x","")</f>
        <v>x</v>
      </c>
    </row>
    <row r="2063" spans="1:19" ht="15.75" customHeight="1">
      <c r="A2063" s="152" t="str">
        <f>IF(B2063&lt;&gt;"",IF(AND(B2063='IN-TC'!$S$4,OR(TH!N2063="1111",TH!O2063="1111")),TH!D2063,""),"")</f>
        <v/>
      </c>
      <c r="B2063" s="34">
        <f t="shared" si="76"/>
        <v>1</v>
      </c>
      <c r="C2063" s="35">
        <f t="shared" si="77"/>
        <v>0</v>
      </c>
      <c r="D2063" s="212"/>
      <c r="E2063" s="35"/>
      <c r="F2063" s="144"/>
      <c r="G2063" s="191"/>
      <c r="H2063" s="198"/>
      <c r="I2063" s="186"/>
      <c r="J2063" s="186"/>
      <c r="K2063" s="185"/>
      <c r="L2063" s="186"/>
      <c r="M2063" s="36">
        <f t="shared" si="78"/>
        <v>0</v>
      </c>
      <c r="N2063" s="37"/>
      <c r="O2063" s="37" t="s">
        <v>34</v>
      </c>
      <c r="P2063" s="47" t="str">
        <f>IF(AND('331-CT'!$F$5=TH!H2063,OR(N2063="331",O2063="331")),"x","")</f>
        <v/>
      </c>
      <c r="Q2063" s="47" t="str">
        <f>IF(AND(B2063='111'!$L$11,OR($N2063=$Q$7,$O2063=$Q$7)),"x","")</f>
        <v/>
      </c>
      <c r="R2063" s="47" t="str">
        <f>IF(AND($N2063=$Q$7,$B2063&lt;'111'!$L$11),"x","")</f>
        <v/>
      </c>
      <c r="S2063" s="47" t="str">
        <f>IF(AND($O2063=$Q$7,$B2063&lt;'111'!$L$11),"x","")</f>
        <v>x</v>
      </c>
    </row>
    <row r="2064" spans="1:19" ht="15.75" customHeight="1">
      <c r="A2064" s="152" t="str">
        <f>IF(B2064&lt;&gt;"",IF(AND(B2064='IN-TC'!$S$4,OR(TH!N2064="1111",TH!O2064="1111")),TH!D2064,""),"")</f>
        <v/>
      </c>
      <c r="B2064" s="34">
        <f t="shared" si="76"/>
        <v>1</v>
      </c>
      <c r="C2064" s="35">
        <f t="shared" si="77"/>
        <v>0</v>
      </c>
      <c r="D2064" s="212"/>
      <c r="E2064" s="35"/>
      <c r="F2064" s="144"/>
      <c r="G2064" s="191"/>
      <c r="H2064" s="198"/>
      <c r="I2064" s="186"/>
      <c r="J2064" s="186"/>
      <c r="K2064" s="185"/>
      <c r="L2064" s="186"/>
      <c r="M2064" s="36">
        <f t="shared" si="78"/>
        <v>0</v>
      </c>
      <c r="N2064" s="37"/>
      <c r="O2064" s="37" t="s">
        <v>34</v>
      </c>
      <c r="P2064" s="47" t="str">
        <f>IF(AND('331-CT'!$F$5=TH!H2064,OR(N2064="331",O2064="331")),"x","")</f>
        <v/>
      </c>
      <c r="Q2064" s="47" t="str">
        <f>IF(AND(B2064='111'!$L$11,OR($N2064=$Q$7,$O2064=$Q$7)),"x","")</f>
        <v/>
      </c>
      <c r="R2064" s="47" t="str">
        <f>IF(AND($N2064=$Q$7,$B2064&lt;'111'!$L$11),"x","")</f>
        <v/>
      </c>
      <c r="S2064" s="47" t="str">
        <f>IF(AND($O2064=$Q$7,$B2064&lt;'111'!$L$11),"x","")</f>
        <v>x</v>
      </c>
    </row>
    <row r="2065" spans="1:19" ht="15.75" customHeight="1">
      <c r="A2065" s="152" t="str">
        <f>IF(B2065&lt;&gt;"",IF(AND(B2065='IN-TC'!$S$4,OR(TH!N2065="1111",TH!O2065="1111")),TH!D2065,""),"")</f>
        <v/>
      </c>
      <c r="B2065" s="34">
        <f t="shared" si="76"/>
        <v>1</v>
      </c>
      <c r="C2065" s="35">
        <f t="shared" si="77"/>
        <v>0</v>
      </c>
      <c r="D2065" s="212"/>
      <c r="E2065" s="35"/>
      <c r="F2065" s="144"/>
      <c r="G2065" s="191"/>
      <c r="H2065" s="198"/>
      <c r="I2065" s="186"/>
      <c r="J2065" s="186"/>
      <c r="K2065" s="185"/>
      <c r="L2065" s="186"/>
      <c r="M2065" s="36">
        <f t="shared" si="78"/>
        <v>0</v>
      </c>
      <c r="N2065" s="37"/>
      <c r="O2065" s="37" t="s">
        <v>34</v>
      </c>
      <c r="P2065" s="47" t="str">
        <f>IF(AND('331-CT'!$F$5=TH!H2065,OR(N2065="331",O2065="331")),"x","")</f>
        <v/>
      </c>
      <c r="Q2065" s="47" t="str">
        <f>IF(AND(B2065='111'!$L$11,OR($N2065=$Q$7,$O2065=$Q$7)),"x","")</f>
        <v/>
      </c>
      <c r="R2065" s="47" t="str">
        <f>IF(AND($N2065=$Q$7,$B2065&lt;'111'!$L$11),"x","")</f>
        <v/>
      </c>
      <c r="S2065" s="47" t="str">
        <f>IF(AND($O2065=$Q$7,$B2065&lt;'111'!$L$11),"x","")</f>
        <v>x</v>
      </c>
    </row>
    <row r="2066" spans="1:19" ht="15.75" customHeight="1">
      <c r="A2066" s="152" t="str">
        <f>IF(B2066&lt;&gt;"",IF(AND(B2066='IN-TC'!$S$4,OR(TH!N2066="1111",TH!O2066="1111")),TH!D2066,""),"")</f>
        <v/>
      </c>
      <c r="B2066" s="34">
        <f t="shared" si="76"/>
        <v>1</v>
      </c>
      <c r="C2066" s="35">
        <f t="shared" si="77"/>
        <v>0</v>
      </c>
      <c r="D2066" s="212"/>
      <c r="E2066" s="35"/>
      <c r="F2066" s="144"/>
      <c r="G2066" s="191"/>
      <c r="H2066" s="198"/>
      <c r="I2066" s="186"/>
      <c r="J2066" s="186"/>
      <c r="K2066" s="185"/>
      <c r="L2066" s="186"/>
      <c r="M2066" s="36">
        <f t="shared" si="78"/>
        <v>0</v>
      </c>
      <c r="N2066" s="37"/>
      <c r="O2066" s="37" t="s">
        <v>34</v>
      </c>
      <c r="P2066" s="47" t="str">
        <f>IF(AND('331-CT'!$F$5=TH!H2066,OR(N2066="331",O2066="331")),"x","")</f>
        <v/>
      </c>
      <c r="Q2066" s="47" t="str">
        <f>IF(AND(B2066='111'!$L$11,OR($N2066=$Q$7,$O2066=$Q$7)),"x","")</f>
        <v/>
      </c>
      <c r="R2066" s="47" t="str">
        <f>IF(AND($N2066=$Q$7,$B2066&lt;'111'!$L$11),"x","")</f>
        <v/>
      </c>
      <c r="S2066" s="47" t="str">
        <f>IF(AND($O2066=$Q$7,$B2066&lt;'111'!$L$11),"x","")</f>
        <v>x</v>
      </c>
    </row>
    <row r="2067" spans="1:19" ht="15.75" customHeight="1">
      <c r="A2067" s="152" t="str">
        <f>IF(B2067&lt;&gt;"",IF(AND(B2067='IN-TC'!$S$4,OR(TH!N2067="1111",TH!O2067="1111")),TH!D2067,""),"")</f>
        <v/>
      </c>
      <c r="B2067" s="34">
        <f t="shared" si="76"/>
        <v>1</v>
      </c>
      <c r="C2067" s="35">
        <f t="shared" si="77"/>
        <v>0</v>
      </c>
      <c r="D2067" s="212"/>
      <c r="E2067" s="35"/>
      <c r="F2067" s="144"/>
      <c r="G2067" s="191"/>
      <c r="H2067" s="198"/>
      <c r="I2067" s="186"/>
      <c r="J2067" s="186"/>
      <c r="K2067" s="185"/>
      <c r="L2067" s="186"/>
      <c r="M2067" s="36">
        <f t="shared" si="78"/>
        <v>0</v>
      </c>
      <c r="N2067" s="37"/>
      <c r="O2067" s="37" t="s">
        <v>34</v>
      </c>
      <c r="P2067" s="47" t="str">
        <f>IF(AND('331-CT'!$F$5=TH!H2067,OR(N2067="331",O2067="331")),"x","")</f>
        <v/>
      </c>
      <c r="Q2067" s="47" t="str">
        <f>IF(AND(B2067='111'!$L$11,OR($N2067=$Q$7,$O2067=$Q$7)),"x","")</f>
        <v/>
      </c>
      <c r="R2067" s="47" t="str">
        <f>IF(AND($N2067=$Q$7,$B2067&lt;'111'!$L$11),"x","")</f>
        <v/>
      </c>
      <c r="S2067" s="47" t="str">
        <f>IF(AND($O2067=$Q$7,$B2067&lt;'111'!$L$11),"x","")</f>
        <v>x</v>
      </c>
    </row>
    <row r="2068" spans="1:19" ht="15.75" customHeight="1">
      <c r="A2068" s="152" t="str">
        <f>IF(B2068&lt;&gt;"",IF(AND(B2068='IN-TC'!$S$4,OR(TH!N2068="1111",TH!O2068="1111")),TH!D2068,""),"")</f>
        <v/>
      </c>
      <c r="B2068" s="34">
        <f t="shared" si="73"/>
        <v>1</v>
      </c>
      <c r="C2068" s="35">
        <f t="shared" si="74"/>
        <v>0</v>
      </c>
      <c r="D2068" s="212"/>
      <c r="E2068" s="35"/>
      <c r="F2068" s="144"/>
      <c r="G2068" s="191"/>
      <c r="H2068" s="198"/>
      <c r="I2068" s="186"/>
      <c r="J2068" s="186"/>
      <c r="K2068" s="185"/>
      <c r="L2068" s="186"/>
      <c r="M2068" s="36">
        <f t="shared" ref="M2068:M2078" si="79">ROUND(I2068*J2068,-3)</f>
        <v>0</v>
      </c>
      <c r="N2068" s="37"/>
      <c r="O2068" s="37" t="s">
        <v>34</v>
      </c>
      <c r="P2068" s="47" t="str">
        <f>IF(AND('331-CT'!$F$5=TH!H2068,OR(N2068="331",O2068="331")),"x","")</f>
        <v/>
      </c>
      <c r="Q2068" s="47" t="str">
        <f>IF(AND(B2068='111'!$L$11,OR($N2068=$Q$7,$O2068=$Q$7)),"x","")</f>
        <v/>
      </c>
      <c r="R2068" s="47" t="str">
        <f>IF(AND($N2068=$Q$7,$B2068&lt;'111'!$L$11),"x","")</f>
        <v/>
      </c>
      <c r="S2068" s="47" t="str">
        <f>IF(AND($O2068=$Q$7,$B2068&lt;'111'!$L$11),"x","")</f>
        <v>x</v>
      </c>
    </row>
    <row r="2069" spans="1:19" ht="15.75" customHeight="1">
      <c r="A2069" s="152" t="str">
        <f>IF(B2069&lt;&gt;"",IF(AND(B2069='IN-TC'!$S$4,OR(TH!N2069="1111",TH!O2069="1111")),TH!D2069,""),"")</f>
        <v/>
      </c>
      <c r="B2069" s="34">
        <f t="shared" si="73"/>
        <v>1</v>
      </c>
      <c r="C2069" s="35">
        <f t="shared" si="74"/>
        <v>0</v>
      </c>
      <c r="D2069" s="212"/>
      <c r="E2069" s="35"/>
      <c r="F2069" s="144"/>
      <c r="G2069" s="191"/>
      <c r="H2069" s="198"/>
      <c r="I2069" s="186"/>
      <c r="J2069" s="186"/>
      <c r="K2069" s="185"/>
      <c r="L2069" s="186"/>
      <c r="M2069" s="36">
        <f t="shared" si="79"/>
        <v>0</v>
      </c>
      <c r="N2069" s="37"/>
      <c r="O2069" s="37" t="s">
        <v>34</v>
      </c>
      <c r="P2069" s="47" t="str">
        <f>IF(AND('331-CT'!$F$5=TH!H2069,OR(N2069="331",O2069="331")),"x","")</f>
        <v/>
      </c>
      <c r="Q2069" s="47" t="str">
        <f>IF(AND(B2069='111'!$L$11,OR($N2069=$Q$7,$O2069=$Q$7)),"x","")</f>
        <v/>
      </c>
      <c r="R2069" s="47" t="str">
        <f>IF(AND($N2069=$Q$7,$B2069&lt;'111'!$L$11),"x","")</f>
        <v/>
      </c>
      <c r="S2069" s="47" t="str">
        <f>IF(AND($O2069=$Q$7,$B2069&lt;'111'!$L$11),"x","")</f>
        <v>x</v>
      </c>
    </row>
    <row r="2070" spans="1:19" ht="15.75" customHeight="1">
      <c r="A2070" s="152" t="str">
        <f>IF(B2070&lt;&gt;"",IF(AND(B2070='IN-TC'!$S$4,OR(TH!N2070="1111",TH!O2070="1111")),TH!D2070,""),"")</f>
        <v/>
      </c>
      <c r="B2070" s="34">
        <f t="shared" si="73"/>
        <v>1</v>
      </c>
      <c r="C2070" s="35">
        <f t="shared" si="74"/>
        <v>0</v>
      </c>
      <c r="D2070" s="212"/>
      <c r="E2070" s="35"/>
      <c r="F2070" s="144"/>
      <c r="G2070" s="191"/>
      <c r="H2070" s="198"/>
      <c r="I2070" s="186"/>
      <c r="J2070" s="186"/>
      <c r="K2070" s="185"/>
      <c r="L2070" s="186"/>
      <c r="M2070" s="36">
        <f t="shared" ref="M2070:M2073" si="80">ROUND(I2070*J2070,-3)</f>
        <v>0</v>
      </c>
      <c r="N2070" s="37"/>
      <c r="O2070" s="37" t="s">
        <v>34</v>
      </c>
      <c r="P2070" s="47" t="str">
        <f>IF(AND('331-CT'!$F$5=TH!H2070,OR(N2070="331",O2070="331")),"x","")</f>
        <v/>
      </c>
      <c r="Q2070" s="47" t="str">
        <f>IF(AND(B2070='111'!$L$11,OR($N2070=$Q$7,$O2070=$Q$7)),"x","")</f>
        <v/>
      </c>
      <c r="R2070" s="47" t="str">
        <f>IF(AND($N2070=$Q$7,$B2070&lt;'111'!$L$11),"x","")</f>
        <v/>
      </c>
      <c r="S2070" s="47" t="str">
        <f>IF(AND($O2070=$Q$7,$B2070&lt;'111'!$L$11),"x","")</f>
        <v>x</v>
      </c>
    </row>
    <row r="2071" spans="1:19" ht="15.75" customHeight="1">
      <c r="A2071" s="152" t="str">
        <f>IF(B2071&lt;&gt;"",IF(AND(B2071='IN-TC'!$S$4,OR(TH!N2071="1111",TH!O2071="1111")),TH!D2071,""),"")</f>
        <v/>
      </c>
      <c r="B2071" s="34">
        <f t="shared" si="73"/>
        <v>1</v>
      </c>
      <c r="C2071" s="35">
        <f t="shared" si="74"/>
        <v>0</v>
      </c>
      <c r="D2071" s="212"/>
      <c r="E2071" s="35"/>
      <c r="F2071" s="144"/>
      <c r="G2071" s="191"/>
      <c r="H2071" s="198"/>
      <c r="I2071" s="186"/>
      <c r="J2071" s="186"/>
      <c r="K2071" s="185"/>
      <c r="L2071" s="186"/>
      <c r="M2071" s="36">
        <f t="shared" si="80"/>
        <v>0</v>
      </c>
      <c r="N2071" s="37"/>
      <c r="O2071" s="37" t="s">
        <v>34</v>
      </c>
      <c r="P2071" s="47" t="str">
        <f>IF(AND('331-CT'!$F$5=TH!H2071,OR(N2071="331",O2071="331")),"x","")</f>
        <v/>
      </c>
      <c r="Q2071" s="47" t="str">
        <f>IF(AND(B2071='111'!$L$11,OR($N2071=$Q$7,$O2071=$Q$7)),"x","")</f>
        <v/>
      </c>
      <c r="R2071" s="47" t="str">
        <f>IF(AND($N2071=$Q$7,$B2071&lt;'111'!$L$11),"x","")</f>
        <v/>
      </c>
      <c r="S2071" s="47" t="str">
        <f>IF(AND($O2071=$Q$7,$B2071&lt;'111'!$L$11),"x","")</f>
        <v>x</v>
      </c>
    </row>
    <row r="2072" spans="1:19" ht="15.75" customHeight="1">
      <c r="A2072" s="152" t="str">
        <f>IF(B2072&lt;&gt;"",IF(AND(B2072='IN-TC'!$S$4,OR(TH!N2072="1111",TH!O2072="1111")),TH!D2072,""),"")</f>
        <v/>
      </c>
      <c r="B2072" s="34">
        <f t="shared" si="73"/>
        <v>1</v>
      </c>
      <c r="C2072" s="35">
        <f t="shared" si="74"/>
        <v>0</v>
      </c>
      <c r="D2072" s="212"/>
      <c r="E2072" s="35"/>
      <c r="F2072" s="144"/>
      <c r="G2072" s="191"/>
      <c r="H2072" s="198"/>
      <c r="I2072" s="186"/>
      <c r="J2072" s="186"/>
      <c r="K2072" s="185"/>
      <c r="L2072" s="186"/>
      <c r="M2072" s="36">
        <f t="shared" si="80"/>
        <v>0</v>
      </c>
      <c r="N2072" s="37"/>
      <c r="O2072" s="37" t="s">
        <v>34</v>
      </c>
      <c r="P2072" s="47" t="str">
        <f>IF(AND('331-CT'!$F$5=TH!H2072,OR(N2072="331",O2072="331")),"x","")</f>
        <v/>
      </c>
      <c r="Q2072" s="47" t="str">
        <f>IF(AND(B2072='111'!$L$11,OR($N2072=$Q$7,$O2072=$Q$7)),"x","")</f>
        <v/>
      </c>
      <c r="R2072" s="47" t="str">
        <f>IF(AND($N2072=$Q$7,$B2072&lt;'111'!$L$11),"x","")</f>
        <v/>
      </c>
      <c r="S2072" s="47" t="str">
        <f>IF(AND($O2072=$Q$7,$B2072&lt;'111'!$L$11),"x","")</f>
        <v>x</v>
      </c>
    </row>
    <row r="2073" spans="1:19" ht="15.75" customHeight="1">
      <c r="A2073" s="152" t="str">
        <f>IF(B2073&lt;&gt;"",IF(AND(B2073='IN-TC'!$S$4,OR(TH!N2073="1111",TH!O2073="1111")),TH!D2073,""),"")</f>
        <v/>
      </c>
      <c r="B2073" s="34">
        <f t="shared" si="73"/>
        <v>1</v>
      </c>
      <c r="C2073" s="35">
        <f t="shared" si="74"/>
        <v>0</v>
      </c>
      <c r="D2073" s="212"/>
      <c r="E2073" s="35"/>
      <c r="F2073" s="144"/>
      <c r="G2073" s="191"/>
      <c r="H2073" s="198"/>
      <c r="I2073" s="186"/>
      <c r="J2073" s="186"/>
      <c r="K2073" s="185"/>
      <c r="L2073" s="186"/>
      <c r="M2073" s="36">
        <f t="shared" si="80"/>
        <v>0</v>
      </c>
      <c r="N2073" s="37"/>
      <c r="O2073" s="37" t="s">
        <v>34</v>
      </c>
      <c r="P2073" s="47" t="str">
        <f>IF(AND('331-CT'!$F$5=TH!H2073,OR(N2073="331",O2073="331")),"x","")</f>
        <v/>
      </c>
      <c r="Q2073" s="47" t="str">
        <f>IF(AND(B2073='111'!$L$11,OR($N2073=$Q$7,$O2073=$Q$7)),"x","")</f>
        <v/>
      </c>
      <c r="R2073" s="47" t="str">
        <f>IF(AND($N2073=$Q$7,$B2073&lt;'111'!$L$11),"x","")</f>
        <v/>
      </c>
      <c r="S2073" s="47" t="str">
        <f>IF(AND($O2073=$Q$7,$B2073&lt;'111'!$L$11),"x","")</f>
        <v>x</v>
      </c>
    </row>
    <row r="2074" spans="1:19" ht="15.75" customHeight="1">
      <c r="A2074" s="152" t="str">
        <f>IF(B2074&lt;&gt;"",IF(AND(B2074='IN-TC'!$S$4,OR(TH!N2074="1111",TH!O2074="1111")),TH!D2074,""),"")</f>
        <v/>
      </c>
      <c r="B2074" s="34">
        <f t="shared" si="73"/>
        <v>1</v>
      </c>
      <c r="C2074" s="35">
        <f t="shared" si="74"/>
        <v>0</v>
      </c>
      <c r="D2074" s="212"/>
      <c r="E2074" s="35"/>
      <c r="F2074" s="144"/>
      <c r="G2074" s="191"/>
      <c r="H2074" s="198"/>
      <c r="I2074" s="186"/>
      <c r="J2074" s="186"/>
      <c r="K2074" s="185"/>
      <c r="L2074" s="186"/>
      <c r="M2074" s="36">
        <f t="shared" ref="M2074:M2077" si="81">ROUND(I2074*J2074,-3)</f>
        <v>0</v>
      </c>
      <c r="N2074" s="37"/>
      <c r="O2074" s="37" t="s">
        <v>34</v>
      </c>
      <c r="P2074" s="47" t="str">
        <f>IF(AND('331-CT'!$F$5=TH!H2074,OR(N2074="331",O2074="331")),"x","")</f>
        <v/>
      </c>
      <c r="Q2074" s="47" t="str">
        <f>IF(AND(B2074='111'!$L$11,OR($N2074=$Q$7,$O2074=$Q$7)),"x","")</f>
        <v/>
      </c>
      <c r="R2074" s="47" t="str">
        <f>IF(AND($N2074=$Q$7,$B2074&lt;'111'!$L$11),"x","")</f>
        <v/>
      </c>
      <c r="S2074" s="47" t="str">
        <f>IF(AND($O2074=$Q$7,$B2074&lt;'111'!$L$11),"x","")</f>
        <v>x</v>
      </c>
    </row>
    <row r="2075" spans="1:19" ht="15.75" customHeight="1">
      <c r="A2075" s="152" t="str">
        <f>IF(B2075&lt;&gt;"",IF(AND(B2075='IN-TC'!$S$4,OR(TH!N2075="1111",TH!O2075="1111")),TH!D2075,""),"")</f>
        <v/>
      </c>
      <c r="B2075" s="34">
        <f t="shared" si="73"/>
        <v>1</v>
      </c>
      <c r="C2075" s="35">
        <f t="shared" si="74"/>
        <v>0</v>
      </c>
      <c r="D2075" s="212"/>
      <c r="E2075" s="35"/>
      <c r="F2075" s="144"/>
      <c r="G2075" s="191"/>
      <c r="H2075" s="198"/>
      <c r="I2075" s="186"/>
      <c r="J2075" s="186"/>
      <c r="K2075" s="185"/>
      <c r="L2075" s="186"/>
      <c r="M2075" s="36">
        <f t="shared" si="81"/>
        <v>0</v>
      </c>
      <c r="N2075" s="37"/>
      <c r="O2075" s="37" t="s">
        <v>34</v>
      </c>
      <c r="P2075" s="47" t="str">
        <f>IF(AND('331-CT'!$F$5=TH!H2075,OR(N2075="331",O2075="331")),"x","")</f>
        <v/>
      </c>
      <c r="Q2075" s="47" t="str">
        <f>IF(AND(B2075='111'!$L$11,OR($N2075=$Q$7,$O2075=$Q$7)),"x","")</f>
        <v/>
      </c>
      <c r="R2075" s="47" t="str">
        <f>IF(AND($N2075=$Q$7,$B2075&lt;'111'!$L$11),"x","")</f>
        <v/>
      </c>
      <c r="S2075" s="47" t="str">
        <f>IF(AND($O2075=$Q$7,$B2075&lt;'111'!$L$11),"x","")</f>
        <v>x</v>
      </c>
    </row>
    <row r="2076" spans="1:19" ht="15.75" customHeight="1">
      <c r="A2076" s="152" t="str">
        <f>IF(B2076&lt;&gt;"",IF(AND(B2076='IN-TC'!$S$4,OR(TH!N2076="1111",TH!O2076="1111")),TH!D2076,""),"")</f>
        <v/>
      </c>
      <c r="B2076" s="34">
        <f t="shared" si="73"/>
        <v>1</v>
      </c>
      <c r="C2076" s="35">
        <f t="shared" si="74"/>
        <v>0</v>
      </c>
      <c r="D2076" s="212"/>
      <c r="E2076" s="35"/>
      <c r="F2076" s="144"/>
      <c r="G2076" s="191"/>
      <c r="H2076" s="198"/>
      <c r="I2076" s="186"/>
      <c r="J2076" s="186"/>
      <c r="K2076" s="185"/>
      <c r="L2076" s="186"/>
      <c r="M2076" s="36">
        <f t="shared" si="81"/>
        <v>0</v>
      </c>
      <c r="N2076" s="37"/>
      <c r="O2076" s="37" t="s">
        <v>34</v>
      </c>
      <c r="P2076" s="47" t="str">
        <f>IF(AND('331-CT'!$F$5=TH!H2076,OR(N2076="331",O2076="331")),"x","")</f>
        <v/>
      </c>
      <c r="Q2076" s="47" t="str">
        <f>IF(AND(B2076='111'!$L$11,OR($N2076=$Q$7,$O2076=$Q$7)),"x","")</f>
        <v/>
      </c>
      <c r="R2076" s="47" t="str">
        <f>IF(AND($N2076=$Q$7,$B2076&lt;'111'!$L$11),"x","")</f>
        <v/>
      </c>
      <c r="S2076" s="47" t="str">
        <f>IF(AND($O2076=$Q$7,$B2076&lt;'111'!$L$11),"x","")</f>
        <v>x</v>
      </c>
    </row>
    <row r="2077" spans="1:19" ht="15.75" customHeight="1">
      <c r="A2077" s="152" t="str">
        <f>IF(B2077&lt;&gt;"",IF(AND(B2077='IN-TC'!$S$4,OR(TH!N2077="1111",TH!O2077="1111")),TH!D2077,""),"")</f>
        <v/>
      </c>
      <c r="B2077" s="34">
        <f t="shared" si="73"/>
        <v>1</v>
      </c>
      <c r="C2077" s="35">
        <f t="shared" si="74"/>
        <v>0</v>
      </c>
      <c r="D2077" s="212"/>
      <c r="E2077" s="35"/>
      <c r="F2077" s="144"/>
      <c r="G2077" s="191"/>
      <c r="H2077" s="198"/>
      <c r="I2077" s="186"/>
      <c r="J2077" s="186"/>
      <c r="K2077" s="185"/>
      <c r="L2077" s="186"/>
      <c r="M2077" s="36">
        <f t="shared" si="81"/>
        <v>0</v>
      </c>
      <c r="N2077" s="37"/>
      <c r="O2077" s="37" t="s">
        <v>34</v>
      </c>
      <c r="P2077" s="47" t="str">
        <f>IF(AND('331-CT'!$F$5=TH!H2077,OR(N2077="331",O2077="331")),"x","")</f>
        <v/>
      </c>
      <c r="Q2077" s="47" t="str">
        <f>IF(AND(B2077='111'!$L$11,OR($N2077=$Q$7,$O2077=$Q$7)),"x","")</f>
        <v/>
      </c>
      <c r="R2077" s="47" t="str">
        <f>IF(AND($N2077=$Q$7,$B2077&lt;'111'!$L$11),"x","")</f>
        <v/>
      </c>
      <c r="S2077" s="47" t="str">
        <f>IF(AND($O2077=$Q$7,$B2077&lt;'111'!$L$11),"x","")</f>
        <v>x</v>
      </c>
    </row>
    <row r="2078" spans="1:19" ht="15.75" customHeight="1">
      <c r="A2078" s="152" t="str">
        <f>IF(B2078&lt;&gt;"",IF(AND(B2078='IN-TC'!$S$4,OR(TH!N2078="1111",TH!O2078="1111")),TH!D2078,""),"")</f>
        <v/>
      </c>
      <c r="B2078" s="34">
        <f t="shared" si="73"/>
        <v>1</v>
      </c>
      <c r="C2078" s="35">
        <f t="shared" si="74"/>
        <v>0</v>
      </c>
      <c r="D2078" s="212"/>
      <c r="E2078" s="35"/>
      <c r="F2078" s="144"/>
      <c r="G2078" s="191"/>
      <c r="H2078" s="198"/>
      <c r="I2078" s="186"/>
      <c r="J2078" s="186"/>
      <c r="K2078" s="185"/>
      <c r="L2078" s="186"/>
      <c r="M2078" s="36">
        <f t="shared" si="79"/>
        <v>0</v>
      </c>
      <c r="N2078" s="37"/>
      <c r="O2078" s="37" t="s">
        <v>34</v>
      </c>
      <c r="P2078" s="47" t="str">
        <f>IF(AND('331-CT'!$F$5=TH!H2078,OR(N2078="331",O2078="331")),"x","")</f>
        <v/>
      </c>
      <c r="Q2078" s="47" t="str">
        <f>IF(AND(B2078='111'!$L$11,OR($N2078=$Q$7,$O2078=$Q$7)),"x","")</f>
        <v/>
      </c>
      <c r="R2078" s="47" t="str">
        <f>IF(AND($N2078=$Q$7,$B2078&lt;'111'!$L$11),"x","")</f>
        <v/>
      </c>
      <c r="S2078" s="47" t="str">
        <f>IF(AND($O2078=$Q$7,$B2078&lt;'111'!$L$11),"x","")</f>
        <v>x</v>
      </c>
    </row>
    <row r="2079" spans="1:19" ht="15.75" customHeight="1">
      <c r="A2079" s="152" t="str">
        <f>IF(B2079&lt;&gt;"",IF(AND(B2079='IN-TC'!$S$4,OR(TH!N2079="1111",TH!O2079="1111")),TH!D2079,""),"")</f>
        <v/>
      </c>
      <c r="B2079" s="34">
        <f t="shared" si="73"/>
        <v>1</v>
      </c>
      <c r="C2079" s="35">
        <f t="shared" si="74"/>
        <v>0</v>
      </c>
      <c r="D2079" s="212"/>
      <c r="E2079" s="35"/>
      <c r="F2079" s="144"/>
      <c r="G2079" s="191"/>
      <c r="H2079" s="198"/>
      <c r="I2079" s="186"/>
      <c r="J2079" s="186"/>
      <c r="K2079" s="185"/>
      <c r="L2079" s="186"/>
      <c r="M2079" s="36">
        <f t="shared" ref="M2079:M2122" si="82">ROUND(I2079*J2079,-3)</f>
        <v>0</v>
      </c>
      <c r="N2079" s="37"/>
      <c r="O2079" s="37" t="s">
        <v>34</v>
      </c>
      <c r="P2079" s="47" t="str">
        <f>IF(AND('331-CT'!$F$5=TH!H2079,OR(N2079="331",O2079="331")),"x","")</f>
        <v/>
      </c>
      <c r="Q2079" s="47" t="str">
        <f>IF(AND(B2079='111'!$L$11,OR($N2079=$Q$7,$O2079=$Q$7)),"x","")</f>
        <v/>
      </c>
      <c r="R2079" s="47" t="str">
        <f>IF(AND($N2079=$Q$7,$B2079&lt;'111'!$L$11),"x","")</f>
        <v/>
      </c>
      <c r="S2079" s="47" t="str">
        <f>IF(AND($O2079=$Q$7,$B2079&lt;'111'!$L$11),"x","")</f>
        <v>x</v>
      </c>
    </row>
    <row r="2080" spans="1:19" ht="15.75" customHeight="1">
      <c r="A2080" s="152" t="str">
        <f>IF(B2080&lt;&gt;"",IF(AND(B2080='IN-TC'!$S$4,OR(TH!N2080="1111",TH!O2080="1111")),TH!D2080,""),"")</f>
        <v/>
      </c>
      <c r="B2080" s="34">
        <f t="shared" si="73"/>
        <v>1</v>
      </c>
      <c r="C2080" s="35">
        <f t="shared" si="74"/>
        <v>0</v>
      </c>
      <c r="D2080" s="212"/>
      <c r="E2080" s="35"/>
      <c r="F2080" s="144"/>
      <c r="G2080" s="191"/>
      <c r="H2080" s="198"/>
      <c r="I2080" s="186"/>
      <c r="J2080" s="186"/>
      <c r="K2080" s="185"/>
      <c r="L2080" s="186"/>
      <c r="M2080" s="36">
        <f t="shared" si="82"/>
        <v>0</v>
      </c>
      <c r="N2080" s="37"/>
      <c r="O2080" s="37" t="s">
        <v>34</v>
      </c>
      <c r="P2080" s="47" t="str">
        <f>IF(AND('331-CT'!$F$5=TH!H2080,OR(N2080="331",O2080="331")),"x","")</f>
        <v/>
      </c>
      <c r="Q2080" s="47" t="str">
        <f>IF(AND(B2080='111'!$L$11,OR($N2080=$Q$7,$O2080=$Q$7)),"x","")</f>
        <v/>
      </c>
      <c r="R2080" s="47" t="str">
        <f>IF(AND($N2080=$Q$7,$B2080&lt;'111'!$L$11),"x","")</f>
        <v/>
      </c>
      <c r="S2080" s="47" t="str">
        <f>IF(AND($O2080=$Q$7,$B2080&lt;'111'!$L$11),"x","")</f>
        <v>x</v>
      </c>
    </row>
    <row r="2081" spans="1:19" ht="15.75" customHeight="1">
      <c r="A2081" s="152" t="str">
        <f>IF(B2081&lt;&gt;"",IF(AND(B2081='IN-TC'!$S$4,OR(TH!N2081="1111",TH!O2081="1111")),TH!D2081,""),"")</f>
        <v/>
      </c>
      <c r="B2081" s="34">
        <f t="shared" si="73"/>
        <v>11</v>
      </c>
      <c r="C2081" s="35">
        <f t="shared" si="74"/>
        <v>42682</v>
      </c>
      <c r="D2081" s="212"/>
      <c r="E2081" s="35">
        <v>42682</v>
      </c>
      <c r="F2081" s="144" t="s">
        <v>1665</v>
      </c>
      <c r="G2081" s="191" t="s">
        <v>206</v>
      </c>
      <c r="H2081" s="7" t="s">
        <v>1393</v>
      </c>
      <c r="I2081" s="186">
        <v>12916</v>
      </c>
      <c r="J2081" s="186">
        <v>10000</v>
      </c>
      <c r="K2081" s="185"/>
      <c r="L2081" s="186"/>
      <c r="M2081" s="36">
        <f t="shared" si="82"/>
        <v>129160000</v>
      </c>
      <c r="N2081" s="37" t="s">
        <v>1443</v>
      </c>
      <c r="O2081" s="37" t="s">
        <v>8</v>
      </c>
      <c r="P2081" s="47" t="str">
        <f>IF(AND('331-CT'!$F$5=TH!H2081,OR(N2081="331",O2081="331")),"x","")</f>
        <v>x</v>
      </c>
      <c r="Q2081" s="47" t="str">
        <f>IF(AND(B2081='111'!$L$11,OR($N2081=$Q$7,$O2081=$Q$7)),"x","")</f>
        <v/>
      </c>
      <c r="R2081" s="47" t="str">
        <f>IF(AND($N2081=$Q$7,$B2081&lt;'111'!$L$11),"x","")</f>
        <v/>
      </c>
      <c r="S2081" s="47" t="str">
        <f>IF(AND($O2081=$Q$7,$B2081&lt;'111'!$L$11),"x","")</f>
        <v/>
      </c>
    </row>
    <row r="2082" spans="1:19" ht="15.75" customHeight="1">
      <c r="A2082" s="152" t="str">
        <f>IF(B2082&lt;&gt;"",IF(AND(B2082='IN-TC'!$S$4,OR(TH!N2082="1111",TH!O2082="1111")),TH!D2082,""),"")</f>
        <v/>
      </c>
      <c r="B2082" s="34">
        <f t="shared" si="73"/>
        <v>11</v>
      </c>
      <c r="C2082" s="35">
        <f t="shared" si="74"/>
        <v>42685</v>
      </c>
      <c r="D2082" s="212"/>
      <c r="E2082" s="35">
        <v>42685</v>
      </c>
      <c r="F2082" s="144" t="s">
        <v>1469</v>
      </c>
      <c r="G2082" s="191" t="s">
        <v>206</v>
      </c>
      <c r="H2082" s="7" t="s">
        <v>840</v>
      </c>
      <c r="I2082" s="186">
        <v>1900</v>
      </c>
      <c r="J2082" s="186">
        <v>18000</v>
      </c>
      <c r="K2082" s="185"/>
      <c r="L2082" s="186"/>
      <c r="M2082" s="36">
        <f t="shared" si="82"/>
        <v>34200000</v>
      </c>
      <c r="N2082" s="37" t="s">
        <v>1443</v>
      </c>
      <c r="O2082" s="37" t="s">
        <v>8</v>
      </c>
      <c r="P2082" s="47" t="str">
        <f>IF(AND('331-CT'!$F$5=TH!H2082,OR(N2082="331",O2082="331")),"x","")</f>
        <v/>
      </c>
      <c r="Q2082" s="47" t="str">
        <f>IF(AND(B2082='111'!$L$11,OR($N2082=$Q$7,$O2082=$Q$7)),"x","")</f>
        <v/>
      </c>
      <c r="R2082" s="47" t="str">
        <f>IF(AND($N2082=$Q$7,$B2082&lt;'111'!$L$11),"x","")</f>
        <v/>
      </c>
      <c r="S2082" s="47" t="str">
        <f>IF(AND($O2082=$Q$7,$B2082&lt;'111'!$L$11),"x","")</f>
        <v/>
      </c>
    </row>
    <row r="2083" spans="1:19" ht="15.75" customHeight="1">
      <c r="A2083" s="152" t="str">
        <f>IF(B2083&lt;&gt;"",IF(AND(B2083='IN-TC'!$S$4,OR(TH!N2083="1111",TH!O2083="1111")),TH!D2083,""),"")</f>
        <v/>
      </c>
      <c r="B2083" s="34">
        <f t="shared" si="73"/>
        <v>11</v>
      </c>
      <c r="C2083" s="35">
        <f t="shared" si="74"/>
        <v>39039</v>
      </c>
      <c r="D2083" s="212"/>
      <c r="E2083" s="35">
        <v>39039</v>
      </c>
      <c r="F2083" s="144" t="s">
        <v>1473</v>
      </c>
      <c r="G2083" s="191" t="s">
        <v>206</v>
      </c>
      <c r="H2083" s="43" t="s">
        <v>821</v>
      </c>
      <c r="I2083" s="186">
        <v>2211</v>
      </c>
      <c r="J2083" s="186">
        <v>23500</v>
      </c>
      <c r="K2083" s="185"/>
      <c r="L2083" s="186"/>
      <c r="M2083" s="36">
        <f t="shared" si="82"/>
        <v>51959000</v>
      </c>
      <c r="N2083" s="37" t="s">
        <v>1443</v>
      </c>
      <c r="O2083" s="37" t="s">
        <v>8</v>
      </c>
      <c r="P2083" s="47" t="str">
        <f>IF(AND('331-CT'!$F$5=TH!H2083,OR(N2083="331",O2083="331")),"x","")</f>
        <v/>
      </c>
      <c r="Q2083" s="47" t="str">
        <f>IF(AND(B2083='111'!$L$11,OR($N2083=$Q$7,$O2083=$Q$7)),"x","")</f>
        <v/>
      </c>
      <c r="R2083" s="47" t="str">
        <f>IF(AND($N2083=$Q$7,$B2083&lt;'111'!$L$11),"x","")</f>
        <v/>
      </c>
      <c r="S2083" s="47" t="str">
        <f>IF(AND($O2083=$Q$7,$B2083&lt;'111'!$L$11),"x","")</f>
        <v/>
      </c>
    </row>
    <row r="2084" spans="1:19" ht="15.75" customHeight="1">
      <c r="A2084" s="152" t="str">
        <f>IF(B2084&lt;&gt;"",IF(AND(B2084='IN-TC'!$S$4,OR(TH!N2084="1111",TH!O2084="1111")),TH!D2084,""),"")</f>
        <v/>
      </c>
      <c r="B2084" s="34">
        <f t="shared" si="73"/>
        <v>11</v>
      </c>
      <c r="C2084" s="35">
        <f t="shared" si="74"/>
        <v>39039</v>
      </c>
      <c r="D2084" s="212"/>
      <c r="E2084" s="35">
        <v>39039</v>
      </c>
      <c r="F2084" s="144" t="s">
        <v>1495</v>
      </c>
      <c r="G2084" s="191" t="s">
        <v>206</v>
      </c>
      <c r="H2084" s="43" t="s">
        <v>821</v>
      </c>
      <c r="I2084" s="186">
        <v>9233</v>
      </c>
      <c r="J2084" s="186">
        <v>8000</v>
      </c>
      <c r="K2084" s="185"/>
      <c r="L2084" s="186"/>
      <c r="M2084" s="36">
        <f t="shared" si="82"/>
        <v>73864000</v>
      </c>
      <c r="N2084" s="37" t="s">
        <v>1443</v>
      </c>
      <c r="O2084" s="37" t="s">
        <v>8</v>
      </c>
      <c r="P2084" s="47" t="str">
        <f>IF(AND('331-CT'!$F$5=TH!H2084,OR(N2084="331",O2084="331")),"x","")</f>
        <v/>
      </c>
      <c r="Q2084" s="47" t="str">
        <f>IF(AND(B2084='111'!$L$11,OR($N2084=$Q$7,$O2084=$Q$7)),"x","")</f>
        <v/>
      </c>
      <c r="R2084" s="47" t="str">
        <f>IF(AND($N2084=$Q$7,$B2084&lt;'111'!$L$11),"x","")</f>
        <v/>
      </c>
      <c r="S2084" s="47" t="str">
        <f>IF(AND($O2084=$Q$7,$B2084&lt;'111'!$L$11),"x","")</f>
        <v/>
      </c>
    </row>
    <row r="2085" spans="1:19" ht="15.75" customHeight="1">
      <c r="A2085" s="152" t="str">
        <f>IF(B2085&lt;&gt;"",IF(AND(B2085='IN-TC'!$S$4,OR(TH!N2085="1111",TH!O2085="1111")),TH!D2085,""),"")</f>
        <v/>
      </c>
      <c r="B2085" s="34">
        <f t="shared" si="73"/>
        <v>11</v>
      </c>
      <c r="C2085" s="35">
        <f t="shared" si="74"/>
        <v>39040</v>
      </c>
      <c r="D2085" s="212"/>
      <c r="E2085" s="35">
        <v>39040</v>
      </c>
      <c r="F2085" s="144" t="s">
        <v>1473</v>
      </c>
      <c r="G2085" s="191" t="s">
        <v>206</v>
      </c>
      <c r="H2085" s="43" t="s">
        <v>821</v>
      </c>
      <c r="I2085" s="186">
        <v>2811</v>
      </c>
      <c r="J2085" s="186">
        <v>23500</v>
      </c>
      <c r="K2085" s="185"/>
      <c r="L2085" s="186"/>
      <c r="M2085" s="36">
        <f t="shared" si="82"/>
        <v>66059000</v>
      </c>
      <c r="N2085" s="37" t="s">
        <v>1443</v>
      </c>
      <c r="O2085" s="37" t="s">
        <v>8</v>
      </c>
      <c r="P2085" s="47" t="str">
        <f>IF(AND('331-CT'!$F$5=TH!H2085,OR(N2085="331",O2085="331")),"x","")</f>
        <v/>
      </c>
      <c r="Q2085" s="47" t="str">
        <f>IF(AND(B2085='111'!$L$11,OR($N2085=$Q$7,$O2085=$Q$7)),"x","")</f>
        <v/>
      </c>
      <c r="R2085" s="47" t="str">
        <f>IF(AND($N2085=$Q$7,$B2085&lt;'111'!$L$11),"x","")</f>
        <v/>
      </c>
      <c r="S2085" s="47" t="str">
        <f>IF(AND($O2085=$Q$7,$B2085&lt;'111'!$L$11),"x","")</f>
        <v/>
      </c>
    </row>
    <row r="2086" spans="1:19" ht="15.75" customHeight="1">
      <c r="A2086" s="152" t="str">
        <f>IF(B2086&lt;&gt;"",IF(AND(B2086='IN-TC'!$S$4,OR(TH!N2086="1111",TH!O2086="1111")),TH!D2086,""),"")</f>
        <v/>
      </c>
      <c r="B2086" s="34">
        <f t="shared" si="73"/>
        <v>11</v>
      </c>
      <c r="C2086" s="35">
        <f t="shared" si="74"/>
        <v>42702</v>
      </c>
      <c r="D2086" s="212"/>
      <c r="E2086" s="35">
        <v>42702</v>
      </c>
      <c r="F2086" s="144" t="s">
        <v>1469</v>
      </c>
      <c r="G2086" s="191" t="s">
        <v>206</v>
      </c>
      <c r="H2086" s="7" t="s">
        <v>1419</v>
      </c>
      <c r="I2086" s="186">
        <v>4271</v>
      </c>
      <c r="J2086" s="186">
        <v>16000</v>
      </c>
      <c r="K2086" s="185"/>
      <c r="L2086" s="186"/>
      <c r="M2086" s="36">
        <f t="shared" si="82"/>
        <v>68336000</v>
      </c>
      <c r="N2086" s="37" t="s">
        <v>1443</v>
      </c>
      <c r="O2086" s="37" t="s">
        <v>8</v>
      </c>
      <c r="P2086" s="47" t="str">
        <f>IF(AND('331-CT'!$F$5=TH!H2086,OR(N2086="331",O2086="331")),"x","")</f>
        <v/>
      </c>
      <c r="Q2086" s="47" t="str">
        <f>IF(AND(B2086='111'!$L$11,OR($N2086=$Q$7,$O2086=$Q$7)),"x","")</f>
        <v/>
      </c>
      <c r="R2086" s="47" t="str">
        <f>IF(AND($N2086=$Q$7,$B2086&lt;'111'!$L$11),"x","")</f>
        <v/>
      </c>
      <c r="S2086" s="47" t="str">
        <f>IF(AND($O2086=$Q$7,$B2086&lt;'111'!$L$11),"x","")</f>
        <v/>
      </c>
    </row>
    <row r="2087" spans="1:19" ht="15.75" customHeight="1">
      <c r="A2087" s="152" t="str">
        <f>IF(B2087&lt;&gt;"",IF(AND(B2087='IN-TC'!$S$4,OR(TH!N2087="1111",TH!O2087="1111")),TH!D2087,""),"")</f>
        <v/>
      </c>
      <c r="B2087" s="34">
        <f t="shared" ref="B2087:B2150" si="83">IF(C2087&lt;&gt;"",MONTH(C2087),"")</f>
        <v>11</v>
      </c>
      <c r="C2087" s="35">
        <f t="shared" ref="C2087:C2150" si="84">E2087</f>
        <v>42702</v>
      </c>
      <c r="D2087" s="212"/>
      <c r="E2087" s="35">
        <v>42702</v>
      </c>
      <c r="F2087" s="144" t="s">
        <v>1664</v>
      </c>
      <c r="G2087" s="191" t="s">
        <v>206</v>
      </c>
      <c r="H2087" s="198" t="s">
        <v>1666</v>
      </c>
      <c r="I2087" s="186">
        <v>95</v>
      </c>
      <c r="J2087" s="186"/>
      <c r="K2087" s="185"/>
      <c r="L2087" s="186"/>
      <c r="M2087" s="36">
        <f t="shared" si="82"/>
        <v>0</v>
      </c>
      <c r="N2087" s="37" t="s">
        <v>1443</v>
      </c>
      <c r="O2087" s="37" t="s">
        <v>8</v>
      </c>
      <c r="P2087" s="47" t="str">
        <f>IF(AND('331-CT'!$F$5=TH!H2087,OR(N2087="331",O2087="331")),"x","")</f>
        <v/>
      </c>
      <c r="Q2087" s="47" t="str">
        <f>IF(AND(B2087='111'!$L$11,OR($N2087=$Q$7,$O2087=$Q$7)),"x","")</f>
        <v/>
      </c>
      <c r="R2087" s="47" t="str">
        <f>IF(AND($N2087=$Q$7,$B2087&lt;'111'!$L$11),"x","")</f>
        <v/>
      </c>
      <c r="S2087" s="47" t="str">
        <f>IF(AND($O2087=$Q$7,$B2087&lt;'111'!$L$11),"x","")</f>
        <v/>
      </c>
    </row>
    <row r="2088" spans="1:19" ht="15.75" customHeight="1">
      <c r="A2088" s="152" t="str">
        <f>IF(B2088&lt;&gt;"",IF(AND(B2088='IN-TC'!$S$4,OR(TH!N2088="1111",TH!O2088="1111")),TH!D2088,""),"")</f>
        <v/>
      </c>
      <c r="B2088" s="34">
        <f t="shared" si="83"/>
        <v>11</v>
      </c>
      <c r="C2088" s="35">
        <f t="shared" si="84"/>
        <v>42702</v>
      </c>
      <c r="D2088" s="212"/>
      <c r="E2088" s="35">
        <v>42702</v>
      </c>
      <c r="F2088" s="144" t="s">
        <v>1665</v>
      </c>
      <c r="G2088" s="191" t="s">
        <v>206</v>
      </c>
      <c r="H2088" s="198" t="s">
        <v>1666</v>
      </c>
      <c r="I2088" s="186">
        <v>11788</v>
      </c>
      <c r="J2088" s="186">
        <v>9000</v>
      </c>
      <c r="K2088" s="185"/>
      <c r="L2088" s="186"/>
      <c r="M2088" s="36">
        <f t="shared" si="82"/>
        <v>106092000</v>
      </c>
      <c r="N2088" s="37" t="s">
        <v>1443</v>
      </c>
      <c r="O2088" s="37" t="s">
        <v>8</v>
      </c>
      <c r="P2088" s="47" t="str">
        <f>IF(AND('331-CT'!$F$5=TH!H2088,OR(N2088="331",O2088="331")),"x","")</f>
        <v/>
      </c>
      <c r="Q2088" s="47" t="str">
        <f>IF(AND(B2088='111'!$L$11,OR($N2088=$Q$7,$O2088=$Q$7)),"x","")</f>
        <v/>
      </c>
      <c r="R2088" s="47" t="str">
        <f>IF(AND($N2088=$Q$7,$B2088&lt;'111'!$L$11),"x","")</f>
        <v/>
      </c>
      <c r="S2088" s="47" t="str">
        <f>IF(AND($O2088=$Q$7,$B2088&lt;'111'!$L$11),"x","")</f>
        <v/>
      </c>
    </row>
    <row r="2089" spans="1:19" ht="15.75" customHeight="1">
      <c r="A2089" s="152" t="str">
        <f>IF(B2089&lt;&gt;"",IF(AND(B2089='IN-TC'!$S$4,OR(TH!N2089="1111",TH!O2089="1111")),TH!D2089,""),"")</f>
        <v/>
      </c>
      <c r="B2089" s="34">
        <f t="shared" si="83"/>
        <v>11</v>
      </c>
      <c r="C2089" s="35">
        <f t="shared" si="84"/>
        <v>42703</v>
      </c>
      <c r="D2089" s="212"/>
      <c r="E2089" s="35">
        <v>42703</v>
      </c>
      <c r="F2089" s="144" t="s">
        <v>1469</v>
      </c>
      <c r="G2089" s="191" t="s">
        <v>206</v>
      </c>
      <c r="H2089" s="7" t="s">
        <v>1419</v>
      </c>
      <c r="I2089" s="186">
        <v>3044</v>
      </c>
      <c r="J2089" s="186">
        <v>16000</v>
      </c>
      <c r="K2089" s="185"/>
      <c r="L2089" s="186"/>
      <c r="M2089" s="36">
        <f t="shared" si="82"/>
        <v>48704000</v>
      </c>
      <c r="N2089" s="37" t="s">
        <v>1443</v>
      </c>
      <c r="O2089" s="37" t="s">
        <v>8</v>
      </c>
      <c r="P2089" s="47" t="str">
        <f>IF(AND('331-CT'!$F$5=TH!H2089,OR(N2089="331",O2089="331")),"x","")</f>
        <v/>
      </c>
      <c r="Q2089" s="47" t="str">
        <f>IF(AND(B2089='111'!$L$11,OR($N2089=$Q$7,$O2089=$Q$7)),"x","")</f>
        <v/>
      </c>
      <c r="R2089" s="47" t="str">
        <f>IF(AND($N2089=$Q$7,$B2089&lt;'111'!$L$11),"x","")</f>
        <v/>
      </c>
      <c r="S2089" s="47" t="str">
        <f>IF(AND($O2089=$Q$7,$B2089&lt;'111'!$L$11),"x","")</f>
        <v/>
      </c>
    </row>
    <row r="2090" spans="1:19" ht="15.75" customHeight="1">
      <c r="A2090" s="152" t="str">
        <f>IF(B2090&lt;&gt;"",IF(AND(B2090='IN-TC'!$S$4,OR(TH!N2090="1111",TH!O2090="1111")),TH!D2090,""),"")</f>
        <v/>
      </c>
      <c r="B2090" s="34">
        <f t="shared" si="83"/>
        <v>11</v>
      </c>
      <c r="C2090" s="35">
        <f t="shared" si="84"/>
        <v>42685</v>
      </c>
      <c r="D2090" s="212"/>
      <c r="E2090" s="35">
        <v>42685</v>
      </c>
      <c r="F2090" s="144" t="s">
        <v>1467</v>
      </c>
      <c r="G2090" s="191" t="s">
        <v>206</v>
      </c>
      <c r="H2090" s="7" t="s">
        <v>1123</v>
      </c>
      <c r="I2090" s="186">
        <v>840</v>
      </c>
      <c r="J2090" s="186">
        <v>12000</v>
      </c>
      <c r="K2090" s="185"/>
      <c r="L2090" s="186"/>
      <c r="M2090" s="36">
        <f t="shared" si="82"/>
        <v>10080000</v>
      </c>
      <c r="N2090" s="37" t="s">
        <v>1443</v>
      </c>
      <c r="O2090" s="37" t="s">
        <v>8</v>
      </c>
      <c r="P2090" s="47" t="str">
        <f>IF(AND('331-CT'!$F$5=TH!H2090,OR(N2090="331",O2090="331")),"x","")</f>
        <v/>
      </c>
      <c r="Q2090" s="47" t="str">
        <f>IF(AND(B2090='111'!$L$11,OR($N2090=$Q$7,$O2090=$Q$7)),"x","")</f>
        <v/>
      </c>
      <c r="R2090" s="47" t="str">
        <f>IF(AND($N2090=$Q$7,$B2090&lt;'111'!$L$11),"x","")</f>
        <v/>
      </c>
      <c r="S2090" s="47" t="str">
        <f>IF(AND($O2090=$Q$7,$B2090&lt;'111'!$L$11),"x","")</f>
        <v/>
      </c>
    </row>
    <row r="2091" spans="1:19" ht="15.75" customHeight="1">
      <c r="A2091" s="152" t="str">
        <f>IF(B2091&lt;&gt;"",IF(AND(B2091='IN-TC'!$S$4,OR(TH!N2091="1111",TH!O2091="1111")),TH!D2091,""),"")</f>
        <v/>
      </c>
      <c r="B2091" s="34">
        <f t="shared" si="83"/>
        <v>11</v>
      </c>
      <c r="C2091" s="35">
        <f t="shared" si="84"/>
        <v>42686</v>
      </c>
      <c r="D2091" s="212"/>
      <c r="E2091" s="35">
        <v>42686</v>
      </c>
      <c r="F2091" s="144" t="s">
        <v>1467</v>
      </c>
      <c r="G2091" s="191" t="s">
        <v>206</v>
      </c>
      <c r="H2091" s="7" t="s">
        <v>1123</v>
      </c>
      <c r="I2091" s="186">
        <v>1000</v>
      </c>
      <c r="J2091" s="186">
        <v>12000</v>
      </c>
      <c r="K2091" s="185"/>
      <c r="L2091" s="186"/>
      <c r="M2091" s="36">
        <f t="shared" si="82"/>
        <v>12000000</v>
      </c>
      <c r="N2091" s="37" t="s">
        <v>1443</v>
      </c>
      <c r="O2091" s="37" t="s">
        <v>8</v>
      </c>
      <c r="P2091" s="47" t="str">
        <f>IF(AND('331-CT'!$F$5=TH!H2091,OR(N2091="331",O2091="331")),"x","")</f>
        <v/>
      </c>
      <c r="Q2091" s="47" t="str">
        <f>IF(AND(B2091='111'!$L$11,OR($N2091=$Q$7,$O2091=$Q$7)),"x","")</f>
        <v/>
      </c>
      <c r="R2091" s="47" t="str">
        <f>IF(AND($N2091=$Q$7,$B2091&lt;'111'!$L$11),"x","")</f>
        <v/>
      </c>
      <c r="S2091" s="47" t="str">
        <f>IF(AND($O2091=$Q$7,$B2091&lt;'111'!$L$11),"x","")</f>
        <v/>
      </c>
    </row>
    <row r="2092" spans="1:19" ht="15.75" customHeight="1">
      <c r="A2092" s="152" t="str">
        <f>IF(B2092&lt;&gt;"",IF(AND(B2092='IN-TC'!$S$4,OR(TH!N2092="1111",TH!O2092="1111")),TH!D2092,""),"")</f>
        <v/>
      </c>
      <c r="B2092" s="34">
        <f t="shared" si="83"/>
        <v>11</v>
      </c>
      <c r="C2092" s="35">
        <f t="shared" si="84"/>
        <v>42697</v>
      </c>
      <c r="D2092" s="212"/>
      <c r="E2092" s="35">
        <v>42697</v>
      </c>
      <c r="F2092" s="144" t="s">
        <v>1467</v>
      </c>
      <c r="G2092" s="191" t="s">
        <v>206</v>
      </c>
      <c r="H2092" s="7" t="s">
        <v>831</v>
      </c>
      <c r="I2092" s="186">
        <v>1050</v>
      </c>
      <c r="J2092" s="186"/>
      <c r="K2092" s="185"/>
      <c r="L2092" s="186"/>
      <c r="M2092" s="36">
        <f t="shared" si="82"/>
        <v>0</v>
      </c>
      <c r="N2092" s="37" t="s">
        <v>1443</v>
      </c>
      <c r="O2092" s="37" t="s">
        <v>8</v>
      </c>
      <c r="P2092" s="47" t="str">
        <f>IF(AND('331-CT'!$F$5=TH!H2092,OR(N2092="331",O2092="331")),"x","")</f>
        <v/>
      </c>
      <c r="Q2092" s="47" t="str">
        <f>IF(AND(B2092='111'!$L$11,OR($N2092=$Q$7,$O2092=$Q$7)),"x","")</f>
        <v/>
      </c>
      <c r="R2092" s="47" t="str">
        <f>IF(AND($N2092=$Q$7,$B2092&lt;'111'!$L$11),"x","")</f>
        <v/>
      </c>
      <c r="S2092" s="47" t="str">
        <f>IF(AND($O2092=$Q$7,$B2092&lt;'111'!$L$11),"x","")</f>
        <v/>
      </c>
    </row>
    <row r="2093" spans="1:19" ht="15.75" customHeight="1">
      <c r="A2093" s="152" t="str">
        <f>IF(B2093&lt;&gt;"",IF(AND(B2093='IN-TC'!$S$4,OR(TH!N2093="1111",TH!O2093="1111")),TH!D2093,""),"")</f>
        <v/>
      </c>
      <c r="B2093" s="34">
        <f t="shared" si="83"/>
        <v>11</v>
      </c>
      <c r="C2093" s="35">
        <f t="shared" si="84"/>
        <v>42698</v>
      </c>
      <c r="D2093" s="212"/>
      <c r="E2093" s="35">
        <v>42698</v>
      </c>
      <c r="F2093" s="144" t="s">
        <v>1467</v>
      </c>
      <c r="G2093" s="191" t="s">
        <v>206</v>
      </c>
      <c r="H2093" s="7" t="s">
        <v>831</v>
      </c>
      <c r="I2093" s="186">
        <v>1570</v>
      </c>
      <c r="J2093" s="186"/>
      <c r="K2093" s="185"/>
      <c r="L2093" s="186"/>
      <c r="M2093" s="36">
        <f t="shared" si="82"/>
        <v>0</v>
      </c>
      <c r="N2093" s="37" t="s">
        <v>1443</v>
      </c>
      <c r="O2093" s="37" t="s">
        <v>8</v>
      </c>
      <c r="P2093" s="47" t="str">
        <f>IF(AND('331-CT'!$F$5=TH!H2093,OR(N2093="331",O2093="331")),"x","")</f>
        <v/>
      </c>
      <c r="Q2093" s="47" t="str">
        <f>IF(AND(B2093='111'!$L$11,OR($N2093=$Q$7,$O2093=$Q$7)),"x","")</f>
        <v/>
      </c>
      <c r="R2093" s="47" t="str">
        <f>IF(AND($N2093=$Q$7,$B2093&lt;'111'!$L$11),"x","")</f>
        <v/>
      </c>
      <c r="S2093" s="47" t="str">
        <f>IF(AND($O2093=$Q$7,$B2093&lt;'111'!$L$11),"x","")</f>
        <v/>
      </c>
    </row>
    <row r="2094" spans="1:19" ht="15.75" customHeight="1">
      <c r="A2094" s="152" t="str">
        <f>IF(B2094&lt;&gt;"",IF(AND(B2094='IN-TC'!$S$4,OR(TH!N2094="1111",TH!O2094="1111")),TH!D2094,""),"")</f>
        <v/>
      </c>
      <c r="B2094" s="34">
        <f t="shared" si="83"/>
        <v>11</v>
      </c>
      <c r="C2094" s="35">
        <f t="shared" si="84"/>
        <v>42699</v>
      </c>
      <c r="D2094" s="212"/>
      <c r="E2094" s="35">
        <v>42699</v>
      </c>
      <c r="F2094" s="144" t="s">
        <v>1467</v>
      </c>
      <c r="G2094" s="191" t="s">
        <v>206</v>
      </c>
      <c r="H2094" s="7" t="s">
        <v>831</v>
      </c>
      <c r="I2094" s="186">
        <v>1650</v>
      </c>
      <c r="J2094" s="186"/>
      <c r="K2094" s="185"/>
      <c r="L2094" s="186"/>
      <c r="M2094" s="36">
        <f t="shared" si="82"/>
        <v>0</v>
      </c>
      <c r="N2094" s="37" t="s">
        <v>1443</v>
      </c>
      <c r="O2094" s="37" t="s">
        <v>8</v>
      </c>
      <c r="P2094" s="47" t="str">
        <f>IF(AND('331-CT'!$F$5=TH!H2094,OR(N2094="331",O2094="331")),"x","")</f>
        <v/>
      </c>
      <c r="Q2094" s="47" t="str">
        <f>IF(AND(B2094='111'!$L$11,OR($N2094=$Q$7,$O2094=$Q$7)),"x","")</f>
        <v/>
      </c>
      <c r="R2094" s="47" t="str">
        <f>IF(AND($N2094=$Q$7,$B2094&lt;'111'!$L$11),"x","")</f>
        <v/>
      </c>
      <c r="S2094" s="47" t="str">
        <f>IF(AND($O2094=$Q$7,$B2094&lt;'111'!$L$11),"x","")</f>
        <v/>
      </c>
    </row>
    <row r="2095" spans="1:19" ht="15.75" customHeight="1">
      <c r="A2095" s="152" t="str">
        <f>IF(B2095&lt;&gt;"",IF(AND(B2095='IN-TC'!$S$4,OR(TH!N2095="1111",TH!O2095="1111")),TH!D2095,""),"")</f>
        <v/>
      </c>
      <c r="B2095" s="34">
        <f t="shared" si="83"/>
        <v>11</v>
      </c>
      <c r="C2095" s="35">
        <f t="shared" si="84"/>
        <v>42701</v>
      </c>
      <c r="D2095" s="212"/>
      <c r="E2095" s="35">
        <v>42701</v>
      </c>
      <c r="F2095" s="144" t="s">
        <v>1467</v>
      </c>
      <c r="G2095" s="191" t="s">
        <v>206</v>
      </c>
      <c r="H2095" s="7" t="s">
        <v>831</v>
      </c>
      <c r="I2095" s="186">
        <v>940</v>
      </c>
      <c r="J2095" s="186"/>
      <c r="K2095" s="185"/>
      <c r="L2095" s="186"/>
      <c r="M2095" s="36">
        <f t="shared" si="82"/>
        <v>0</v>
      </c>
      <c r="N2095" s="37" t="s">
        <v>1443</v>
      </c>
      <c r="O2095" s="37" t="s">
        <v>8</v>
      </c>
      <c r="P2095" s="47" t="str">
        <f>IF(AND('331-CT'!$F$5=TH!H2095,OR(N2095="331",O2095="331")),"x","")</f>
        <v/>
      </c>
      <c r="Q2095" s="47" t="str">
        <f>IF(AND(B2095='111'!$L$11,OR($N2095=$Q$7,$O2095=$Q$7)),"x","")</f>
        <v/>
      </c>
      <c r="R2095" s="47" t="str">
        <f>IF(AND($N2095=$Q$7,$B2095&lt;'111'!$L$11),"x","")</f>
        <v/>
      </c>
      <c r="S2095" s="47" t="str">
        <f>IF(AND($O2095=$Q$7,$B2095&lt;'111'!$L$11),"x","")</f>
        <v/>
      </c>
    </row>
    <row r="2096" spans="1:19" ht="15.75" customHeight="1">
      <c r="A2096" s="152" t="str">
        <f>IF(B2096&lt;&gt;"",IF(AND(B2096='IN-TC'!$S$4,OR(TH!N2096="1111",TH!O2096="1111")),TH!D2096,""),"")</f>
        <v/>
      </c>
      <c r="B2096" s="34">
        <f t="shared" si="83"/>
        <v>1</v>
      </c>
      <c r="C2096" s="35">
        <f t="shared" si="84"/>
        <v>0</v>
      </c>
      <c r="D2096" s="212"/>
      <c r="E2096" s="35"/>
      <c r="F2096" s="144"/>
      <c r="G2096" s="191"/>
      <c r="H2096" s="198"/>
      <c r="I2096" s="186"/>
      <c r="J2096" s="186"/>
      <c r="K2096" s="185"/>
      <c r="L2096" s="186"/>
      <c r="M2096" s="36">
        <f t="shared" si="82"/>
        <v>0</v>
      </c>
      <c r="N2096" s="37" t="s">
        <v>1443</v>
      </c>
      <c r="O2096" s="37" t="s">
        <v>8</v>
      </c>
      <c r="P2096" s="47" t="str">
        <f>IF(AND('331-CT'!$F$5=TH!H2096,OR(N2096="331",O2096="331")),"x","")</f>
        <v/>
      </c>
      <c r="Q2096" s="47" t="str">
        <f>IF(AND(B2096='111'!$L$11,OR($N2096=$Q$7,$O2096=$Q$7)),"x","")</f>
        <v/>
      </c>
      <c r="R2096" s="47" t="str">
        <f>IF(AND($N2096=$Q$7,$B2096&lt;'111'!$L$11),"x","")</f>
        <v/>
      </c>
      <c r="S2096" s="47" t="str">
        <f>IF(AND($O2096=$Q$7,$B2096&lt;'111'!$L$11),"x","")</f>
        <v/>
      </c>
    </row>
    <row r="2097" spans="1:19" ht="15.75" customHeight="1">
      <c r="A2097" s="152" t="str">
        <f>IF(B2097&lt;&gt;"",IF(AND(B2097='IN-TC'!$S$4,OR(TH!N2097="1111",TH!O2097="1111")),TH!D2097,""),"")</f>
        <v/>
      </c>
      <c r="B2097" s="34">
        <f t="shared" si="83"/>
        <v>1</v>
      </c>
      <c r="C2097" s="35">
        <f t="shared" si="84"/>
        <v>0</v>
      </c>
      <c r="D2097" s="212"/>
      <c r="E2097" s="35"/>
      <c r="F2097" s="144"/>
      <c r="G2097" s="191"/>
      <c r="H2097" s="198"/>
      <c r="I2097" s="186"/>
      <c r="J2097" s="186"/>
      <c r="K2097" s="185"/>
      <c r="L2097" s="186"/>
      <c r="M2097" s="36">
        <f t="shared" si="82"/>
        <v>0</v>
      </c>
      <c r="N2097" s="37" t="s">
        <v>1443</v>
      </c>
      <c r="O2097" s="37" t="s">
        <v>8</v>
      </c>
      <c r="P2097" s="47" t="str">
        <f>IF(AND('331-CT'!$F$5=TH!H2097,OR(N2097="331",O2097="331")),"x","")</f>
        <v/>
      </c>
      <c r="Q2097" s="47" t="str">
        <f>IF(AND(B2097='111'!$L$11,OR($N2097=$Q$7,$O2097=$Q$7)),"x","")</f>
        <v/>
      </c>
      <c r="R2097" s="47" t="str">
        <f>IF(AND($N2097=$Q$7,$B2097&lt;'111'!$L$11),"x","")</f>
        <v/>
      </c>
      <c r="S2097" s="47" t="str">
        <f>IF(AND($O2097=$Q$7,$B2097&lt;'111'!$L$11),"x","")</f>
        <v/>
      </c>
    </row>
    <row r="2098" spans="1:19" ht="15.75" customHeight="1">
      <c r="A2098" s="152" t="str">
        <f>IF(B2098&lt;&gt;"",IF(AND(B2098='IN-TC'!$S$4,OR(TH!N2098="1111",TH!O2098="1111")),TH!D2098,""),"")</f>
        <v/>
      </c>
      <c r="B2098" s="34">
        <f t="shared" si="83"/>
        <v>1</v>
      </c>
      <c r="C2098" s="35">
        <f t="shared" si="84"/>
        <v>0</v>
      </c>
      <c r="D2098" s="212"/>
      <c r="E2098" s="35"/>
      <c r="F2098" s="144"/>
      <c r="G2098" s="191"/>
      <c r="H2098" s="198"/>
      <c r="I2098" s="186"/>
      <c r="J2098" s="186"/>
      <c r="K2098" s="185"/>
      <c r="L2098" s="186"/>
      <c r="M2098" s="36">
        <f t="shared" si="82"/>
        <v>0</v>
      </c>
      <c r="N2098" s="37" t="s">
        <v>1443</v>
      </c>
      <c r="O2098" s="37" t="s">
        <v>8</v>
      </c>
      <c r="P2098" s="47" t="str">
        <f>IF(AND('331-CT'!$F$5=TH!H2098,OR(N2098="331",O2098="331")),"x","")</f>
        <v/>
      </c>
      <c r="Q2098" s="47" t="str">
        <f>IF(AND(B2098='111'!$L$11,OR($N2098=$Q$7,$O2098=$Q$7)),"x","")</f>
        <v/>
      </c>
      <c r="R2098" s="47" t="str">
        <f>IF(AND($N2098=$Q$7,$B2098&lt;'111'!$L$11),"x","")</f>
        <v/>
      </c>
      <c r="S2098" s="47" t="str">
        <f>IF(AND($O2098=$Q$7,$B2098&lt;'111'!$L$11),"x","")</f>
        <v/>
      </c>
    </row>
    <row r="2099" spans="1:19" ht="15.75" customHeight="1">
      <c r="A2099" s="152" t="str">
        <f>IF(B2099&lt;&gt;"",IF(AND(B2099='IN-TC'!$S$4,OR(TH!N2099="1111",TH!O2099="1111")),TH!D2099,""),"")</f>
        <v/>
      </c>
      <c r="B2099" s="34">
        <f t="shared" si="83"/>
        <v>1</v>
      </c>
      <c r="C2099" s="35">
        <f t="shared" si="84"/>
        <v>0</v>
      </c>
      <c r="D2099" s="212"/>
      <c r="E2099" s="35"/>
      <c r="F2099" s="144"/>
      <c r="G2099" s="191"/>
      <c r="H2099" s="198"/>
      <c r="I2099" s="186"/>
      <c r="J2099" s="186"/>
      <c r="K2099" s="185"/>
      <c r="L2099" s="186"/>
      <c r="M2099" s="36">
        <f t="shared" si="82"/>
        <v>0</v>
      </c>
      <c r="N2099" s="37" t="s">
        <v>1443</v>
      </c>
      <c r="O2099" s="37" t="s">
        <v>8</v>
      </c>
      <c r="P2099" s="47" t="str">
        <f>IF(AND('331-CT'!$F$5=TH!H2099,OR(N2099="331",O2099="331")),"x","")</f>
        <v/>
      </c>
      <c r="Q2099" s="47" t="str">
        <f>IF(AND(B2099='111'!$L$11,OR($N2099=$Q$7,$O2099=$Q$7)),"x","")</f>
        <v/>
      </c>
      <c r="R2099" s="47" t="str">
        <f>IF(AND($N2099=$Q$7,$B2099&lt;'111'!$L$11),"x","")</f>
        <v/>
      </c>
      <c r="S2099" s="47" t="str">
        <f>IF(AND($O2099=$Q$7,$B2099&lt;'111'!$L$11),"x","")</f>
        <v/>
      </c>
    </row>
    <row r="2100" spans="1:19" ht="15.75" customHeight="1">
      <c r="A2100" s="152" t="str">
        <f>IF(B2100&lt;&gt;"",IF(AND(B2100='IN-TC'!$S$4,OR(TH!N2100="1111",TH!O2100="1111")),TH!D2100,""),"")</f>
        <v/>
      </c>
      <c r="B2100" s="34">
        <f t="shared" si="83"/>
        <v>1</v>
      </c>
      <c r="C2100" s="35">
        <f t="shared" si="84"/>
        <v>0</v>
      </c>
      <c r="D2100" s="212"/>
      <c r="E2100" s="35"/>
      <c r="F2100" s="144"/>
      <c r="G2100" s="191"/>
      <c r="H2100" s="198"/>
      <c r="I2100" s="186"/>
      <c r="J2100" s="186"/>
      <c r="K2100" s="185"/>
      <c r="L2100" s="186"/>
      <c r="M2100" s="36">
        <f t="shared" si="82"/>
        <v>0</v>
      </c>
      <c r="N2100" s="37" t="s">
        <v>1443</v>
      </c>
      <c r="O2100" s="37" t="s">
        <v>8</v>
      </c>
      <c r="P2100" s="47" t="str">
        <f>IF(AND('331-CT'!$F$5=TH!H2100,OR(N2100="331",O2100="331")),"x","")</f>
        <v/>
      </c>
      <c r="Q2100" s="47" t="str">
        <f>IF(AND(B2100='111'!$L$11,OR($N2100=$Q$7,$O2100=$Q$7)),"x","")</f>
        <v/>
      </c>
      <c r="R2100" s="47" t="str">
        <f>IF(AND($N2100=$Q$7,$B2100&lt;'111'!$L$11),"x","")</f>
        <v/>
      </c>
      <c r="S2100" s="47" t="str">
        <f>IF(AND($O2100=$Q$7,$B2100&lt;'111'!$L$11),"x","")</f>
        <v/>
      </c>
    </row>
    <row r="2101" spans="1:19" ht="15.75" customHeight="1">
      <c r="A2101" s="152" t="str">
        <f>IF(B2101&lt;&gt;"",IF(AND(B2101='IN-TC'!$S$4,OR(TH!N2101="1111",TH!O2101="1111")),TH!D2101,""),"")</f>
        <v/>
      </c>
      <c r="B2101" s="34">
        <f t="shared" si="83"/>
        <v>1</v>
      </c>
      <c r="C2101" s="35">
        <f t="shared" si="84"/>
        <v>0</v>
      </c>
      <c r="D2101" s="212"/>
      <c r="E2101" s="35"/>
      <c r="F2101" s="144"/>
      <c r="G2101" s="191"/>
      <c r="H2101" s="198"/>
      <c r="I2101" s="186"/>
      <c r="J2101" s="186"/>
      <c r="K2101" s="185"/>
      <c r="L2101" s="186"/>
      <c r="M2101" s="36">
        <f t="shared" si="82"/>
        <v>0</v>
      </c>
      <c r="N2101" s="37" t="s">
        <v>1443</v>
      </c>
      <c r="O2101" s="37" t="s">
        <v>8</v>
      </c>
      <c r="P2101" s="47" t="str">
        <f>IF(AND('331-CT'!$F$5=TH!H2101,OR(N2101="331",O2101="331")),"x","")</f>
        <v/>
      </c>
      <c r="Q2101" s="47" t="str">
        <f>IF(AND(B2101='111'!$L$11,OR($N2101=$Q$7,$O2101=$Q$7)),"x","")</f>
        <v/>
      </c>
      <c r="R2101" s="47" t="str">
        <f>IF(AND($N2101=$Q$7,$B2101&lt;'111'!$L$11),"x","")</f>
        <v/>
      </c>
      <c r="S2101" s="47" t="str">
        <f>IF(AND($O2101=$Q$7,$B2101&lt;'111'!$L$11),"x","")</f>
        <v/>
      </c>
    </row>
    <row r="2102" spans="1:19" ht="15.75" customHeight="1">
      <c r="A2102" s="152" t="str">
        <f>IF(B2102&lt;&gt;"",IF(AND(B2102='IN-TC'!$S$4,OR(TH!N2102="1111",TH!O2102="1111")),TH!D2102,""),"")</f>
        <v/>
      </c>
      <c r="B2102" s="34">
        <f t="shared" si="83"/>
        <v>1</v>
      </c>
      <c r="C2102" s="35">
        <f t="shared" si="84"/>
        <v>0</v>
      </c>
      <c r="D2102" s="212"/>
      <c r="E2102" s="35"/>
      <c r="F2102" s="144"/>
      <c r="G2102" s="191"/>
      <c r="H2102" s="198"/>
      <c r="I2102" s="186"/>
      <c r="J2102" s="186"/>
      <c r="K2102" s="185"/>
      <c r="L2102" s="186"/>
      <c r="M2102" s="36">
        <f t="shared" si="82"/>
        <v>0</v>
      </c>
      <c r="N2102" s="37" t="s">
        <v>1443</v>
      </c>
      <c r="O2102" s="37" t="s">
        <v>8</v>
      </c>
      <c r="P2102" s="47" t="str">
        <f>IF(AND('331-CT'!$F$5=TH!H2102,OR(N2102="331",O2102="331")),"x","")</f>
        <v/>
      </c>
      <c r="Q2102" s="47" t="str">
        <f>IF(AND(B2102='111'!$L$11,OR($N2102=$Q$7,$O2102=$Q$7)),"x","")</f>
        <v/>
      </c>
      <c r="R2102" s="47" t="str">
        <f>IF(AND($N2102=$Q$7,$B2102&lt;'111'!$L$11),"x","")</f>
        <v/>
      </c>
      <c r="S2102" s="47" t="str">
        <f>IF(AND($O2102=$Q$7,$B2102&lt;'111'!$L$11),"x","")</f>
        <v/>
      </c>
    </row>
    <row r="2103" spans="1:19" ht="15.75" customHeight="1">
      <c r="A2103" s="152" t="str">
        <f>IF(B2103&lt;&gt;"",IF(AND(B2103='IN-TC'!$S$4,OR(TH!N2103="1111",TH!O2103="1111")),TH!D2103,""),"")</f>
        <v/>
      </c>
      <c r="B2103" s="34">
        <f t="shared" si="83"/>
        <v>1</v>
      </c>
      <c r="C2103" s="35">
        <f t="shared" si="84"/>
        <v>0</v>
      </c>
      <c r="D2103" s="212"/>
      <c r="E2103" s="35"/>
      <c r="F2103" s="144"/>
      <c r="G2103" s="191"/>
      <c r="H2103" s="198"/>
      <c r="I2103" s="186"/>
      <c r="J2103" s="186"/>
      <c r="K2103" s="185"/>
      <c r="L2103" s="186"/>
      <c r="M2103" s="36">
        <f t="shared" si="82"/>
        <v>0</v>
      </c>
      <c r="N2103" s="37" t="s">
        <v>1443</v>
      </c>
      <c r="O2103" s="37" t="s">
        <v>8</v>
      </c>
      <c r="P2103" s="47" t="str">
        <f>IF(AND('331-CT'!$F$5=TH!H2103,OR(N2103="331",O2103="331")),"x","")</f>
        <v/>
      </c>
      <c r="Q2103" s="47" t="str">
        <f>IF(AND(B2103='111'!$L$11,OR($N2103=$Q$7,$O2103=$Q$7)),"x","")</f>
        <v/>
      </c>
      <c r="R2103" s="47" t="str">
        <f>IF(AND($N2103=$Q$7,$B2103&lt;'111'!$L$11),"x","")</f>
        <v/>
      </c>
      <c r="S2103" s="47" t="str">
        <f>IF(AND($O2103=$Q$7,$B2103&lt;'111'!$L$11),"x","")</f>
        <v/>
      </c>
    </row>
    <row r="2104" spans="1:19" ht="15.75" customHeight="1">
      <c r="A2104" s="152" t="str">
        <f>IF(B2104&lt;&gt;"",IF(AND(B2104='IN-TC'!$S$4,OR(TH!N2104="1111",TH!O2104="1111")),TH!D2104,""),"")</f>
        <v/>
      </c>
      <c r="B2104" s="34">
        <f t="shared" si="83"/>
        <v>1</v>
      </c>
      <c r="C2104" s="35">
        <f t="shared" si="84"/>
        <v>0</v>
      </c>
      <c r="D2104" s="212"/>
      <c r="E2104" s="35"/>
      <c r="F2104" s="144"/>
      <c r="G2104" s="191"/>
      <c r="H2104" s="198"/>
      <c r="I2104" s="186"/>
      <c r="J2104" s="186"/>
      <c r="K2104" s="185"/>
      <c r="L2104" s="186"/>
      <c r="M2104" s="36">
        <f t="shared" si="82"/>
        <v>0</v>
      </c>
      <c r="N2104" s="37" t="s">
        <v>1443</v>
      </c>
      <c r="O2104" s="37" t="s">
        <v>8</v>
      </c>
      <c r="P2104" s="47" t="str">
        <f>IF(AND('331-CT'!$F$5=TH!H2104,OR(N2104="331",O2104="331")),"x","")</f>
        <v/>
      </c>
      <c r="Q2104" s="47" t="str">
        <f>IF(AND(B2104='111'!$L$11,OR($N2104=$Q$7,$O2104=$Q$7)),"x","")</f>
        <v/>
      </c>
      <c r="R2104" s="47" t="str">
        <f>IF(AND($N2104=$Q$7,$B2104&lt;'111'!$L$11),"x","")</f>
        <v/>
      </c>
      <c r="S2104" s="47" t="str">
        <f>IF(AND($O2104=$Q$7,$B2104&lt;'111'!$L$11),"x","")</f>
        <v/>
      </c>
    </row>
    <row r="2105" spans="1:19" ht="15.75" customHeight="1">
      <c r="A2105" s="152" t="str">
        <f>IF(B2105&lt;&gt;"",IF(AND(B2105='IN-TC'!$S$4,OR(TH!N2105="1111",TH!O2105="1111")),TH!D2105,""),"")</f>
        <v/>
      </c>
      <c r="B2105" s="34">
        <f t="shared" si="83"/>
        <v>1</v>
      </c>
      <c r="C2105" s="35">
        <f t="shared" si="84"/>
        <v>0</v>
      </c>
      <c r="D2105" s="212"/>
      <c r="E2105" s="35"/>
      <c r="F2105" s="144"/>
      <c r="G2105" s="191"/>
      <c r="H2105" s="198"/>
      <c r="I2105" s="186"/>
      <c r="J2105" s="186"/>
      <c r="K2105" s="185"/>
      <c r="L2105" s="186"/>
      <c r="M2105" s="36">
        <f t="shared" si="82"/>
        <v>0</v>
      </c>
      <c r="N2105" s="37" t="s">
        <v>1443</v>
      </c>
      <c r="O2105" s="37" t="s">
        <v>8</v>
      </c>
      <c r="P2105" s="47" t="str">
        <f>IF(AND('331-CT'!$F$5=TH!H2105,OR(N2105="331",O2105="331")),"x","")</f>
        <v/>
      </c>
      <c r="Q2105" s="47" t="str">
        <f>IF(AND(B2105='111'!$L$11,OR($N2105=$Q$7,$O2105=$Q$7)),"x","")</f>
        <v/>
      </c>
      <c r="R2105" s="47" t="str">
        <f>IF(AND($N2105=$Q$7,$B2105&lt;'111'!$L$11),"x","")</f>
        <v/>
      </c>
      <c r="S2105" s="47" t="str">
        <f>IF(AND($O2105=$Q$7,$B2105&lt;'111'!$L$11),"x","")</f>
        <v/>
      </c>
    </row>
    <row r="2106" spans="1:19" ht="15.75" customHeight="1">
      <c r="A2106" s="152" t="str">
        <f>IF(B2106&lt;&gt;"",IF(AND(B2106='IN-TC'!$S$4,OR(TH!N2106="1111",TH!O2106="1111")),TH!D2106,""),"")</f>
        <v/>
      </c>
      <c r="B2106" s="34">
        <f t="shared" si="83"/>
        <v>1</v>
      </c>
      <c r="C2106" s="35">
        <f t="shared" si="84"/>
        <v>0</v>
      </c>
      <c r="D2106" s="212"/>
      <c r="E2106" s="35"/>
      <c r="F2106" s="144"/>
      <c r="G2106" s="191"/>
      <c r="H2106" s="198"/>
      <c r="I2106" s="186"/>
      <c r="J2106" s="186"/>
      <c r="K2106" s="185"/>
      <c r="L2106" s="186"/>
      <c r="M2106" s="36">
        <f t="shared" si="82"/>
        <v>0</v>
      </c>
      <c r="N2106" s="37" t="s">
        <v>1443</v>
      </c>
      <c r="O2106" s="37" t="s">
        <v>8</v>
      </c>
      <c r="P2106" s="47" t="str">
        <f>IF(AND('331-CT'!$F$5=TH!H2106,OR(N2106="331",O2106="331")),"x","")</f>
        <v/>
      </c>
      <c r="Q2106" s="47" t="str">
        <f>IF(AND(B2106='111'!$L$11,OR($N2106=$Q$7,$O2106=$Q$7)),"x","")</f>
        <v/>
      </c>
      <c r="R2106" s="47" t="str">
        <f>IF(AND($N2106=$Q$7,$B2106&lt;'111'!$L$11),"x","")</f>
        <v/>
      </c>
      <c r="S2106" s="47" t="str">
        <f>IF(AND($O2106=$Q$7,$B2106&lt;'111'!$L$11),"x","")</f>
        <v/>
      </c>
    </row>
    <row r="2107" spans="1:19" ht="15.75" customHeight="1">
      <c r="A2107" s="152" t="str">
        <f>IF(B2107&lt;&gt;"",IF(AND(B2107='IN-TC'!$S$4,OR(TH!N2107="1111",TH!O2107="1111")),TH!D2107,""),"")</f>
        <v/>
      </c>
      <c r="B2107" s="34">
        <f t="shared" si="83"/>
        <v>1</v>
      </c>
      <c r="C2107" s="35">
        <f t="shared" si="84"/>
        <v>0</v>
      </c>
      <c r="D2107" s="212"/>
      <c r="E2107" s="35"/>
      <c r="F2107" s="144"/>
      <c r="G2107" s="191"/>
      <c r="H2107" s="198"/>
      <c r="I2107" s="186"/>
      <c r="J2107" s="186"/>
      <c r="K2107" s="185"/>
      <c r="L2107" s="186"/>
      <c r="M2107" s="36">
        <f t="shared" si="82"/>
        <v>0</v>
      </c>
      <c r="N2107" s="37" t="s">
        <v>1443</v>
      </c>
      <c r="O2107" s="37" t="s">
        <v>8</v>
      </c>
      <c r="P2107" s="47" t="str">
        <f>IF(AND('331-CT'!$F$5=TH!H2107,OR(N2107="331",O2107="331")),"x","")</f>
        <v/>
      </c>
      <c r="Q2107" s="47" t="str">
        <f>IF(AND(B2107='111'!$L$11,OR($N2107=$Q$7,$O2107=$Q$7)),"x","")</f>
        <v/>
      </c>
      <c r="R2107" s="47" t="str">
        <f>IF(AND($N2107=$Q$7,$B2107&lt;'111'!$L$11),"x","")</f>
        <v/>
      </c>
      <c r="S2107" s="47" t="str">
        <f>IF(AND($O2107=$Q$7,$B2107&lt;'111'!$L$11),"x","")</f>
        <v/>
      </c>
    </row>
    <row r="2108" spans="1:19" ht="15.75" customHeight="1">
      <c r="A2108" s="152" t="str">
        <f>IF(B2108&lt;&gt;"",IF(AND(B2108='IN-TC'!$S$4,OR(TH!N2108="1111",TH!O2108="1111")),TH!D2108,""),"")</f>
        <v/>
      </c>
      <c r="B2108" s="34">
        <f t="shared" si="83"/>
        <v>1</v>
      </c>
      <c r="C2108" s="35">
        <f t="shared" si="84"/>
        <v>0</v>
      </c>
      <c r="D2108" s="212"/>
      <c r="E2108" s="35"/>
      <c r="F2108" s="144"/>
      <c r="G2108" s="191"/>
      <c r="H2108" s="198"/>
      <c r="I2108" s="186"/>
      <c r="J2108" s="186"/>
      <c r="K2108" s="185"/>
      <c r="L2108" s="186"/>
      <c r="M2108" s="36">
        <f t="shared" si="82"/>
        <v>0</v>
      </c>
      <c r="N2108" s="37" t="s">
        <v>1443</v>
      </c>
      <c r="O2108" s="37" t="s">
        <v>8</v>
      </c>
      <c r="P2108" s="47" t="str">
        <f>IF(AND('331-CT'!$F$5=TH!H2108,OR(N2108="331",O2108="331")),"x","")</f>
        <v/>
      </c>
      <c r="Q2108" s="47" t="str">
        <f>IF(AND(B2108='111'!$L$11,OR($N2108=$Q$7,$O2108=$Q$7)),"x","")</f>
        <v/>
      </c>
      <c r="R2108" s="47" t="str">
        <f>IF(AND($N2108=$Q$7,$B2108&lt;'111'!$L$11),"x","")</f>
        <v/>
      </c>
      <c r="S2108" s="47" t="str">
        <f>IF(AND($O2108=$Q$7,$B2108&lt;'111'!$L$11),"x","")</f>
        <v/>
      </c>
    </row>
    <row r="2109" spans="1:19" ht="15.75" customHeight="1">
      <c r="A2109" s="152" t="str">
        <f>IF(B2109&lt;&gt;"",IF(AND(B2109='IN-TC'!$S$4,OR(TH!N2109="1111",TH!O2109="1111")),TH!D2109,""),"")</f>
        <v/>
      </c>
      <c r="B2109" s="34">
        <f t="shared" si="83"/>
        <v>1</v>
      </c>
      <c r="C2109" s="35">
        <f t="shared" si="84"/>
        <v>0</v>
      </c>
      <c r="D2109" s="212"/>
      <c r="E2109" s="35"/>
      <c r="F2109" s="144"/>
      <c r="G2109" s="191"/>
      <c r="H2109" s="198"/>
      <c r="I2109" s="186"/>
      <c r="J2109" s="186"/>
      <c r="K2109" s="185"/>
      <c r="L2109" s="186"/>
      <c r="M2109" s="36">
        <f t="shared" si="82"/>
        <v>0</v>
      </c>
      <c r="N2109" s="37" t="s">
        <v>1443</v>
      </c>
      <c r="O2109" s="37" t="s">
        <v>8</v>
      </c>
      <c r="P2109" s="47" t="str">
        <f>IF(AND('331-CT'!$F$5=TH!H2109,OR(N2109="331",O2109="331")),"x","")</f>
        <v/>
      </c>
      <c r="Q2109" s="47" t="str">
        <f>IF(AND(B2109='111'!$L$11,OR($N2109=$Q$7,$O2109=$Q$7)),"x","")</f>
        <v/>
      </c>
      <c r="R2109" s="47" t="str">
        <f>IF(AND($N2109=$Q$7,$B2109&lt;'111'!$L$11),"x","")</f>
        <v/>
      </c>
      <c r="S2109" s="47" t="str">
        <f>IF(AND($O2109=$Q$7,$B2109&lt;'111'!$L$11),"x","")</f>
        <v/>
      </c>
    </row>
    <row r="2110" spans="1:19" ht="15.75" customHeight="1">
      <c r="A2110" s="152" t="str">
        <f>IF(B2110&lt;&gt;"",IF(AND(B2110='IN-TC'!$S$4,OR(TH!N2110="1111",TH!O2110="1111")),TH!D2110,""),"")</f>
        <v/>
      </c>
      <c r="B2110" s="34">
        <f t="shared" si="83"/>
        <v>1</v>
      </c>
      <c r="C2110" s="35">
        <f t="shared" si="84"/>
        <v>0</v>
      </c>
      <c r="D2110" s="212"/>
      <c r="E2110" s="35"/>
      <c r="F2110" s="144"/>
      <c r="G2110" s="191"/>
      <c r="H2110" s="198"/>
      <c r="I2110" s="186"/>
      <c r="J2110" s="186"/>
      <c r="K2110" s="185"/>
      <c r="L2110" s="186"/>
      <c r="M2110" s="36">
        <f t="shared" si="82"/>
        <v>0</v>
      </c>
      <c r="N2110" s="37" t="s">
        <v>1443</v>
      </c>
      <c r="O2110" s="37" t="s">
        <v>8</v>
      </c>
      <c r="P2110" s="47" t="str">
        <f>IF(AND('331-CT'!$F$5=TH!H2110,OR(N2110="331",O2110="331")),"x","")</f>
        <v/>
      </c>
      <c r="Q2110" s="47" t="str">
        <f>IF(AND(B2110='111'!$L$11,OR($N2110=$Q$7,$O2110=$Q$7)),"x","")</f>
        <v/>
      </c>
      <c r="R2110" s="47" t="str">
        <f>IF(AND($N2110=$Q$7,$B2110&lt;'111'!$L$11),"x","")</f>
        <v/>
      </c>
      <c r="S2110" s="47" t="str">
        <f>IF(AND($O2110=$Q$7,$B2110&lt;'111'!$L$11),"x","")</f>
        <v/>
      </c>
    </row>
    <row r="2111" spans="1:19" ht="15.75" customHeight="1">
      <c r="A2111" s="152" t="str">
        <f>IF(B2111&lt;&gt;"",IF(AND(B2111='IN-TC'!$S$4,OR(TH!N2111="1111",TH!O2111="1111")),TH!D2111,""),"")</f>
        <v/>
      </c>
      <c r="B2111" s="34">
        <f t="shared" si="83"/>
        <v>1</v>
      </c>
      <c r="C2111" s="35">
        <f t="shared" si="84"/>
        <v>0</v>
      </c>
      <c r="D2111" s="212"/>
      <c r="E2111" s="35"/>
      <c r="F2111" s="144"/>
      <c r="G2111" s="191"/>
      <c r="H2111" s="198"/>
      <c r="I2111" s="186"/>
      <c r="J2111" s="186"/>
      <c r="K2111" s="185"/>
      <c r="L2111" s="186"/>
      <c r="M2111" s="36">
        <f t="shared" si="82"/>
        <v>0</v>
      </c>
      <c r="N2111" s="37" t="s">
        <v>1443</v>
      </c>
      <c r="O2111" s="37" t="s">
        <v>8</v>
      </c>
      <c r="P2111" s="47" t="str">
        <f>IF(AND('331-CT'!$F$5=TH!H2111,OR(N2111="331",O2111="331")),"x","")</f>
        <v/>
      </c>
      <c r="Q2111" s="47" t="str">
        <f>IF(AND(B2111='111'!$L$11,OR($N2111=$Q$7,$O2111=$Q$7)),"x","")</f>
        <v/>
      </c>
      <c r="R2111" s="47" t="str">
        <f>IF(AND($N2111=$Q$7,$B2111&lt;'111'!$L$11),"x","")</f>
        <v/>
      </c>
      <c r="S2111" s="47" t="str">
        <f>IF(AND($O2111=$Q$7,$B2111&lt;'111'!$L$11),"x","")</f>
        <v/>
      </c>
    </row>
    <row r="2112" spans="1:19" ht="15.75" customHeight="1">
      <c r="A2112" s="152" t="str">
        <f>IF(B2112&lt;&gt;"",IF(AND(B2112='IN-TC'!$S$4,OR(TH!N2112="1111",TH!O2112="1111")),TH!D2112,""),"")</f>
        <v/>
      </c>
      <c r="B2112" s="34">
        <f t="shared" si="83"/>
        <v>1</v>
      </c>
      <c r="C2112" s="35">
        <f t="shared" si="84"/>
        <v>0</v>
      </c>
      <c r="D2112" s="212"/>
      <c r="E2112" s="35"/>
      <c r="F2112" s="144"/>
      <c r="G2112" s="191"/>
      <c r="H2112" s="198"/>
      <c r="I2112" s="186"/>
      <c r="J2112" s="186"/>
      <c r="K2112" s="185"/>
      <c r="L2112" s="186"/>
      <c r="M2112" s="36">
        <f t="shared" si="82"/>
        <v>0</v>
      </c>
      <c r="N2112" s="37" t="s">
        <v>1443</v>
      </c>
      <c r="O2112" s="37" t="s">
        <v>8</v>
      </c>
      <c r="P2112" s="47" t="str">
        <f>IF(AND('331-CT'!$F$5=TH!H2112,OR(N2112="331",O2112="331")),"x","")</f>
        <v/>
      </c>
      <c r="Q2112" s="47" t="str">
        <f>IF(AND(B2112='111'!$L$11,OR($N2112=$Q$7,$O2112=$Q$7)),"x","")</f>
        <v/>
      </c>
      <c r="R2112" s="47" t="str">
        <f>IF(AND($N2112=$Q$7,$B2112&lt;'111'!$L$11),"x","")</f>
        <v/>
      </c>
      <c r="S2112" s="47" t="str">
        <f>IF(AND($O2112=$Q$7,$B2112&lt;'111'!$L$11),"x","")</f>
        <v/>
      </c>
    </row>
    <row r="2113" spans="1:19" ht="15.75" customHeight="1">
      <c r="A2113" s="152" t="str">
        <f>IF(B2113&lt;&gt;"",IF(AND(B2113='IN-TC'!$S$4,OR(TH!N2113="1111",TH!O2113="1111")),TH!D2113,""),"")</f>
        <v/>
      </c>
      <c r="B2113" s="34">
        <f t="shared" si="83"/>
        <v>1</v>
      </c>
      <c r="C2113" s="35">
        <f t="shared" si="84"/>
        <v>0</v>
      </c>
      <c r="D2113" s="212"/>
      <c r="E2113" s="35"/>
      <c r="F2113" s="144"/>
      <c r="G2113" s="191"/>
      <c r="H2113" s="198"/>
      <c r="I2113" s="186"/>
      <c r="J2113" s="186"/>
      <c r="K2113" s="185"/>
      <c r="L2113" s="186"/>
      <c r="M2113" s="36">
        <f t="shared" si="82"/>
        <v>0</v>
      </c>
      <c r="N2113" s="37" t="s">
        <v>1443</v>
      </c>
      <c r="O2113" s="37" t="s">
        <v>8</v>
      </c>
      <c r="P2113" s="47" t="str">
        <f>IF(AND('331-CT'!$F$5=TH!H2113,OR(N2113="331",O2113="331")),"x","")</f>
        <v/>
      </c>
      <c r="Q2113" s="47" t="str">
        <f>IF(AND(B2113='111'!$L$11,OR($N2113=$Q$7,$O2113=$Q$7)),"x","")</f>
        <v/>
      </c>
      <c r="R2113" s="47" t="str">
        <f>IF(AND($N2113=$Q$7,$B2113&lt;'111'!$L$11),"x","")</f>
        <v/>
      </c>
      <c r="S2113" s="47" t="str">
        <f>IF(AND($O2113=$Q$7,$B2113&lt;'111'!$L$11),"x","")</f>
        <v/>
      </c>
    </row>
    <row r="2114" spans="1:19" ht="15.75" customHeight="1">
      <c r="A2114" s="152" t="str">
        <f>IF(B2114&lt;&gt;"",IF(AND(B2114='IN-TC'!$S$4,OR(TH!N2114="1111",TH!O2114="1111")),TH!D2114,""),"")</f>
        <v/>
      </c>
      <c r="B2114" s="34">
        <f t="shared" si="83"/>
        <v>1</v>
      </c>
      <c r="C2114" s="35">
        <f t="shared" si="84"/>
        <v>0</v>
      </c>
      <c r="D2114" s="212"/>
      <c r="E2114" s="35"/>
      <c r="F2114" s="144"/>
      <c r="G2114" s="191"/>
      <c r="H2114" s="198"/>
      <c r="I2114" s="186"/>
      <c r="J2114" s="186"/>
      <c r="K2114" s="185"/>
      <c r="L2114" s="186"/>
      <c r="M2114" s="36">
        <f t="shared" si="82"/>
        <v>0</v>
      </c>
      <c r="N2114" s="37" t="s">
        <v>1443</v>
      </c>
      <c r="O2114" s="37" t="s">
        <v>8</v>
      </c>
      <c r="P2114" s="47" t="str">
        <f>IF(AND('331-CT'!$F$5=TH!H2114,OR(N2114="331",O2114="331")),"x","")</f>
        <v/>
      </c>
      <c r="Q2114" s="47" t="str">
        <f>IF(AND(B2114='111'!$L$11,OR($N2114=$Q$7,$O2114=$Q$7)),"x","")</f>
        <v/>
      </c>
      <c r="R2114" s="47" t="str">
        <f>IF(AND($N2114=$Q$7,$B2114&lt;'111'!$L$11),"x","")</f>
        <v/>
      </c>
      <c r="S2114" s="47" t="str">
        <f>IF(AND($O2114=$Q$7,$B2114&lt;'111'!$L$11),"x","")</f>
        <v/>
      </c>
    </row>
    <row r="2115" spans="1:19" ht="15.75" customHeight="1">
      <c r="A2115" s="152" t="str">
        <f>IF(B2115&lt;&gt;"",IF(AND(B2115='IN-TC'!$S$4,OR(TH!N2115="1111",TH!O2115="1111")),TH!D2115,""),"")</f>
        <v/>
      </c>
      <c r="B2115" s="34">
        <f t="shared" si="83"/>
        <v>1</v>
      </c>
      <c r="C2115" s="35">
        <f t="shared" si="84"/>
        <v>0</v>
      </c>
      <c r="D2115" s="212"/>
      <c r="E2115" s="35"/>
      <c r="F2115" s="144"/>
      <c r="G2115" s="191"/>
      <c r="H2115" s="198"/>
      <c r="I2115" s="186"/>
      <c r="J2115" s="186"/>
      <c r="K2115" s="185"/>
      <c r="L2115" s="186"/>
      <c r="M2115" s="36">
        <f t="shared" si="82"/>
        <v>0</v>
      </c>
      <c r="N2115" s="37" t="s">
        <v>1443</v>
      </c>
      <c r="O2115" s="37" t="s">
        <v>8</v>
      </c>
      <c r="P2115" s="47" t="str">
        <f>IF(AND('331-CT'!$F$5=TH!H2115,OR(N2115="331",O2115="331")),"x","")</f>
        <v/>
      </c>
      <c r="Q2115" s="47" t="str">
        <f>IF(AND(B2115='111'!$L$11,OR($N2115=$Q$7,$O2115=$Q$7)),"x","")</f>
        <v/>
      </c>
      <c r="R2115" s="47" t="str">
        <f>IF(AND($N2115=$Q$7,$B2115&lt;'111'!$L$11),"x","")</f>
        <v/>
      </c>
      <c r="S2115" s="47" t="str">
        <f>IF(AND($O2115=$Q$7,$B2115&lt;'111'!$L$11),"x","")</f>
        <v/>
      </c>
    </row>
    <row r="2116" spans="1:19" ht="15.75" customHeight="1">
      <c r="A2116" s="152" t="str">
        <f>IF(B2116&lt;&gt;"",IF(AND(B2116='IN-TC'!$S$4,OR(TH!N2116="1111",TH!O2116="1111")),TH!D2116,""),"")</f>
        <v/>
      </c>
      <c r="B2116" s="34">
        <f t="shared" si="83"/>
        <v>1</v>
      </c>
      <c r="C2116" s="35">
        <f t="shared" si="84"/>
        <v>0</v>
      </c>
      <c r="D2116" s="212"/>
      <c r="E2116" s="35"/>
      <c r="F2116" s="144"/>
      <c r="G2116" s="191"/>
      <c r="H2116" s="198"/>
      <c r="I2116" s="186"/>
      <c r="J2116" s="186"/>
      <c r="K2116" s="185"/>
      <c r="L2116" s="186"/>
      <c r="M2116" s="36">
        <f t="shared" si="82"/>
        <v>0</v>
      </c>
      <c r="N2116" s="37" t="s">
        <v>1443</v>
      </c>
      <c r="O2116" s="37" t="s">
        <v>8</v>
      </c>
      <c r="P2116" s="47" t="str">
        <f>IF(AND('331-CT'!$F$5=TH!H2116,OR(N2116="331",O2116="331")),"x","")</f>
        <v/>
      </c>
      <c r="Q2116" s="47" t="str">
        <f>IF(AND(B2116='111'!$L$11,OR($N2116=$Q$7,$O2116=$Q$7)),"x","")</f>
        <v/>
      </c>
      <c r="R2116" s="47" t="str">
        <f>IF(AND($N2116=$Q$7,$B2116&lt;'111'!$L$11),"x","")</f>
        <v/>
      </c>
      <c r="S2116" s="47" t="str">
        <f>IF(AND($O2116=$Q$7,$B2116&lt;'111'!$L$11),"x","")</f>
        <v/>
      </c>
    </row>
    <row r="2117" spans="1:19" ht="15.75" customHeight="1">
      <c r="A2117" s="152" t="str">
        <f>IF(B2117&lt;&gt;"",IF(AND(B2117='IN-TC'!$S$4,OR(TH!N2117="1111",TH!O2117="1111")),TH!D2117,""),"")</f>
        <v/>
      </c>
      <c r="B2117" s="34">
        <f t="shared" si="83"/>
        <v>1</v>
      </c>
      <c r="C2117" s="35">
        <f t="shared" si="84"/>
        <v>0</v>
      </c>
      <c r="D2117" s="212"/>
      <c r="E2117" s="35"/>
      <c r="F2117" s="144"/>
      <c r="G2117" s="191"/>
      <c r="H2117" s="198"/>
      <c r="I2117" s="186"/>
      <c r="J2117" s="186"/>
      <c r="K2117" s="185"/>
      <c r="L2117" s="186"/>
      <c r="M2117" s="36">
        <f t="shared" si="82"/>
        <v>0</v>
      </c>
      <c r="N2117" s="37" t="s">
        <v>1443</v>
      </c>
      <c r="O2117" s="37" t="s">
        <v>8</v>
      </c>
      <c r="P2117" s="47" t="str">
        <f>IF(AND('331-CT'!$F$5=TH!H2117,OR(N2117="331",O2117="331")),"x","")</f>
        <v/>
      </c>
      <c r="Q2117" s="47" t="str">
        <f>IF(AND(B2117='111'!$L$11,OR($N2117=$Q$7,$O2117=$Q$7)),"x","")</f>
        <v/>
      </c>
      <c r="R2117" s="47" t="str">
        <f>IF(AND($N2117=$Q$7,$B2117&lt;'111'!$L$11),"x","")</f>
        <v/>
      </c>
      <c r="S2117" s="47" t="str">
        <f>IF(AND($O2117=$Q$7,$B2117&lt;'111'!$L$11),"x","")</f>
        <v/>
      </c>
    </row>
    <row r="2118" spans="1:19" ht="15.75" customHeight="1">
      <c r="A2118" s="152" t="str">
        <f>IF(B2118&lt;&gt;"",IF(AND(B2118='IN-TC'!$S$4,OR(TH!N2118="1111",TH!O2118="1111")),TH!D2118,""),"")</f>
        <v/>
      </c>
      <c r="B2118" s="34">
        <f t="shared" si="83"/>
        <v>1</v>
      </c>
      <c r="C2118" s="35">
        <f t="shared" si="84"/>
        <v>0</v>
      </c>
      <c r="D2118" s="212"/>
      <c r="E2118" s="35"/>
      <c r="F2118" s="144"/>
      <c r="G2118" s="191"/>
      <c r="H2118" s="198"/>
      <c r="I2118" s="186"/>
      <c r="J2118" s="186"/>
      <c r="K2118" s="185"/>
      <c r="L2118" s="186"/>
      <c r="M2118" s="36">
        <f t="shared" si="82"/>
        <v>0</v>
      </c>
      <c r="N2118" s="37" t="s">
        <v>1443</v>
      </c>
      <c r="O2118" s="37" t="s">
        <v>8</v>
      </c>
      <c r="P2118" s="47" t="str">
        <f>IF(AND('331-CT'!$F$5=TH!H2118,OR(N2118="331",O2118="331")),"x","")</f>
        <v/>
      </c>
      <c r="Q2118" s="47" t="str">
        <f>IF(AND(B2118='111'!$L$11,OR($N2118=$Q$7,$O2118=$Q$7)),"x","")</f>
        <v/>
      </c>
      <c r="R2118" s="47" t="str">
        <f>IF(AND($N2118=$Q$7,$B2118&lt;'111'!$L$11),"x","")</f>
        <v/>
      </c>
      <c r="S2118" s="47" t="str">
        <f>IF(AND($O2118=$Q$7,$B2118&lt;'111'!$L$11),"x","")</f>
        <v/>
      </c>
    </row>
    <row r="2119" spans="1:19" ht="15.75" customHeight="1">
      <c r="A2119" s="152" t="str">
        <f>IF(B2119&lt;&gt;"",IF(AND(B2119='IN-TC'!$S$4,OR(TH!N2119="1111",TH!O2119="1111")),TH!D2119,""),"")</f>
        <v/>
      </c>
      <c r="B2119" s="34">
        <f t="shared" si="83"/>
        <v>1</v>
      </c>
      <c r="C2119" s="35">
        <f t="shared" si="84"/>
        <v>0</v>
      </c>
      <c r="D2119" s="212"/>
      <c r="E2119" s="35"/>
      <c r="F2119" s="144"/>
      <c r="G2119" s="191"/>
      <c r="H2119" s="198"/>
      <c r="I2119" s="186"/>
      <c r="J2119" s="186"/>
      <c r="K2119" s="185"/>
      <c r="L2119" s="186"/>
      <c r="M2119" s="36">
        <f t="shared" si="82"/>
        <v>0</v>
      </c>
      <c r="N2119" s="37" t="s">
        <v>1443</v>
      </c>
      <c r="O2119" s="37" t="s">
        <v>8</v>
      </c>
      <c r="P2119" s="47" t="str">
        <f>IF(AND('331-CT'!$F$5=TH!H2119,OR(N2119="331",O2119="331")),"x","")</f>
        <v/>
      </c>
      <c r="Q2119" s="47" t="str">
        <f>IF(AND(B2119='111'!$L$11,OR($N2119=$Q$7,$O2119=$Q$7)),"x","")</f>
        <v/>
      </c>
      <c r="R2119" s="47" t="str">
        <f>IF(AND($N2119=$Q$7,$B2119&lt;'111'!$L$11),"x","")</f>
        <v/>
      </c>
      <c r="S2119" s="47" t="str">
        <f>IF(AND($O2119=$Q$7,$B2119&lt;'111'!$L$11),"x","")</f>
        <v/>
      </c>
    </row>
    <row r="2120" spans="1:19" ht="15.75" customHeight="1">
      <c r="A2120" s="152" t="str">
        <f>IF(B2120&lt;&gt;"",IF(AND(B2120='IN-TC'!$S$4,OR(TH!N2120="1111",TH!O2120="1111")),TH!D2120,""),"")</f>
        <v/>
      </c>
      <c r="B2120" s="34">
        <f t="shared" si="83"/>
        <v>1</v>
      </c>
      <c r="C2120" s="35">
        <f t="shared" si="84"/>
        <v>0</v>
      </c>
      <c r="D2120" s="212"/>
      <c r="E2120" s="35"/>
      <c r="F2120" s="144"/>
      <c r="G2120" s="191"/>
      <c r="H2120" s="198"/>
      <c r="I2120" s="186"/>
      <c r="J2120" s="186"/>
      <c r="K2120" s="185"/>
      <c r="L2120" s="186"/>
      <c r="M2120" s="36">
        <f t="shared" si="82"/>
        <v>0</v>
      </c>
      <c r="N2120" s="37" t="s">
        <v>1443</v>
      </c>
      <c r="O2120" s="37" t="s">
        <v>8</v>
      </c>
      <c r="P2120" s="47" t="str">
        <f>IF(AND('331-CT'!$F$5=TH!H2120,OR(N2120="331",O2120="331")),"x","")</f>
        <v/>
      </c>
      <c r="Q2120" s="47" t="str">
        <f>IF(AND(B2120='111'!$L$11,OR($N2120=$Q$7,$O2120=$Q$7)),"x","")</f>
        <v/>
      </c>
      <c r="R2120" s="47" t="str">
        <f>IF(AND($N2120=$Q$7,$B2120&lt;'111'!$L$11),"x","")</f>
        <v/>
      </c>
      <c r="S2120" s="47" t="str">
        <f>IF(AND($O2120=$Q$7,$B2120&lt;'111'!$L$11),"x","")</f>
        <v/>
      </c>
    </row>
    <row r="2121" spans="1:19" ht="15.75" customHeight="1">
      <c r="A2121" s="152" t="str">
        <f>IF(B2121&lt;&gt;"",IF(AND(B2121='IN-TC'!$S$4,OR(TH!N2121="1111",TH!O2121="1111")),TH!D2121,""),"")</f>
        <v/>
      </c>
      <c r="B2121" s="34">
        <f t="shared" si="83"/>
        <v>1</v>
      </c>
      <c r="C2121" s="35">
        <f t="shared" si="84"/>
        <v>0</v>
      </c>
      <c r="D2121" s="212"/>
      <c r="E2121" s="35"/>
      <c r="F2121" s="144"/>
      <c r="G2121" s="191"/>
      <c r="H2121" s="198"/>
      <c r="I2121" s="186"/>
      <c r="J2121" s="186"/>
      <c r="K2121" s="185"/>
      <c r="L2121" s="186"/>
      <c r="M2121" s="36">
        <f t="shared" si="82"/>
        <v>0</v>
      </c>
      <c r="N2121" s="37" t="s">
        <v>1443</v>
      </c>
      <c r="O2121" s="37" t="s">
        <v>8</v>
      </c>
      <c r="P2121" s="47" t="str">
        <f>IF(AND('331-CT'!$F$5=TH!H2121,OR(N2121="331",O2121="331")),"x","")</f>
        <v/>
      </c>
      <c r="Q2121" s="47" t="str">
        <f>IF(AND(B2121='111'!$L$11,OR($N2121=$Q$7,$O2121=$Q$7)),"x","")</f>
        <v/>
      </c>
      <c r="R2121" s="47" t="str">
        <f>IF(AND($N2121=$Q$7,$B2121&lt;'111'!$L$11),"x","")</f>
        <v/>
      </c>
      <c r="S2121" s="47" t="str">
        <f>IF(AND($O2121=$Q$7,$B2121&lt;'111'!$L$11),"x","")</f>
        <v/>
      </c>
    </row>
    <row r="2122" spans="1:19" ht="15.75" customHeight="1">
      <c r="A2122" s="152" t="str">
        <f>IF(B2122&lt;&gt;"",IF(AND(B2122='IN-TC'!$S$4,OR(TH!N2122="1111",TH!O2122="1111")),TH!D2122,""),"")</f>
        <v/>
      </c>
      <c r="B2122" s="34">
        <f t="shared" si="83"/>
        <v>1</v>
      </c>
      <c r="C2122" s="35">
        <f t="shared" si="84"/>
        <v>0</v>
      </c>
      <c r="D2122" s="212"/>
      <c r="E2122" s="35"/>
      <c r="F2122" s="144"/>
      <c r="G2122" s="191"/>
      <c r="H2122" s="198"/>
      <c r="I2122" s="186"/>
      <c r="J2122" s="186"/>
      <c r="K2122" s="185"/>
      <c r="L2122" s="186"/>
      <c r="M2122" s="36">
        <f t="shared" si="82"/>
        <v>0</v>
      </c>
      <c r="N2122" s="37" t="s">
        <v>1443</v>
      </c>
      <c r="O2122" s="37" t="s">
        <v>8</v>
      </c>
      <c r="P2122" s="47" t="str">
        <f>IF(AND('331-CT'!$F$5=TH!H2122,OR(N2122="331",O2122="331")),"x","")</f>
        <v/>
      </c>
      <c r="Q2122" s="47" t="str">
        <f>IF(AND(B2122='111'!$L$11,OR($N2122=$Q$7,$O2122=$Q$7)),"x","")</f>
        <v/>
      </c>
      <c r="R2122" s="47" t="str">
        <f>IF(AND($N2122=$Q$7,$B2122&lt;'111'!$L$11),"x","")</f>
        <v/>
      </c>
      <c r="S2122" s="47" t="str">
        <f>IF(AND($O2122=$Q$7,$B2122&lt;'111'!$L$11),"x","")</f>
        <v/>
      </c>
    </row>
    <row r="2123" spans="1:19" ht="15.75" customHeight="1">
      <c r="A2123" s="152" t="str">
        <f>IF(B2123&lt;&gt;"",IF(AND(B2123='IN-TC'!$S$4,OR(TH!N2123="1111",TH!O2123="1111")),TH!D2123,""),"")</f>
        <v/>
      </c>
      <c r="B2123" s="34">
        <f t="shared" si="83"/>
        <v>1</v>
      </c>
      <c r="C2123" s="35">
        <f t="shared" si="84"/>
        <v>0</v>
      </c>
      <c r="D2123" s="212"/>
      <c r="E2123" s="35"/>
      <c r="F2123" s="144"/>
      <c r="G2123" s="191"/>
      <c r="H2123" s="198"/>
      <c r="I2123" s="186"/>
      <c r="J2123" s="186"/>
      <c r="K2123" s="185"/>
      <c r="L2123" s="186"/>
      <c r="M2123" s="36">
        <f t="shared" ref="M2123:M2186" si="85">ROUND(I2123*J2123,-3)</f>
        <v>0</v>
      </c>
      <c r="N2123" s="37" t="s">
        <v>1443</v>
      </c>
      <c r="O2123" s="37" t="s">
        <v>8</v>
      </c>
      <c r="P2123" s="47" t="str">
        <f>IF(AND('331-CT'!$F$5=TH!H2123,OR(N2123="331",O2123="331")),"x","")</f>
        <v/>
      </c>
      <c r="Q2123" s="47" t="str">
        <f>IF(AND(B2123='111'!$L$11,OR($N2123=$Q$7,$O2123=$Q$7)),"x","")</f>
        <v/>
      </c>
      <c r="R2123" s="47" t="str">
        <f>IF(AND($N2123=$Q$7,$B2123&lt;'111'!$L$11),"x","")</f>
        <v/>
      </c>
      <c r="S2123" s="47" t="str">
        <f>IF(AND($O2123=$Q$7,$B2123&lt;'111'!$L$11),"x","")</f>
        <v/>
      </c>
    </row>
    <row r="2124" spans="1:19" ht="15.75" customHeight="1">
      <c r="A2124" s="152" t="str">
        <f>IF(B2124&lt;&gt;"",IF(AND(B2124='IN-TC'!$S$4,OR(TH!N2124="1111",TH!O2124="1111")),TH!D2124,""),"")</f>
        <v/>
      </c>
      <c r="B2124" s="34">
        <f t="shared" si="83"/>
        <v>1</v>
      </c>
      <c r="C2124" s="35">
        <f t="shared" si="84"/>
        <v>0</v>
      </c>
      <c r="D2124" s="212"/>
      <c r="E2124" s="35"/>
      <c r="F2124" s="144"/>
      <c r="G2124" s="191"/>
      <c r="H2124" s="198"/>
      <c r="I2124" s="186"/>
      <c r="J2124" s="186"/>
      <c r="K2124" s="185"/>
      <c r="L2124" s="186"/>
      <c r="M2124" s="36">
        <f t="shared" si="85"/>
        <v>0</v>
      </c>
      <c r="N2124" s="37" t="s">
        <v>1443</v>
      </c>
      <c r="O2124" s="37" t="s">
        <v>8</v>
      </c>
      <c r="P2124" s="47" t="str">
        <f>IF(AND('331-CT'!$F$5=TH!H2124,OR(N2124="331",O2124="331")),"x","")</f>
        <v/>
      </c>
      <c r="Q2124" s="47" t="str">
        <f>IF(AND(B2124='111'!$L$11,OR($N2124=$Q$7,$O2124=$Q$7)),"x","")</f>
        <v/>
      </c>
      <c r="R2124" s="47" t="str">
        <f>IF(AND($N2124=$Q$7,$B2124&lt;'111'!$L$11),"x","")</f>
        <v/>
      </c>
      <c r="S2124" s="47" t="str">
        <f>IF(AND($O2124=$Q$7,$B2124&lt;'111'!$L$11),"x","")</f>
        <v/>
      </c>
    </row>
    <row r="2125" spans="1:19" ht="15.75" customHeight="1">
      <c r="A2125" s="152" t="str">
        <f>IF(B2125&lt;&gt;"",IF(AND(B2125='IN-TC'!$S$4,OR(TH!N2125="1111",TH!O2125="1111")),TH!D2125,""),"")</f>
        <v/>
      </c>
      <c r="B2125" s="34">
        <f t="shared" si="83"/>
        <v>1</v>
      </c>
      <c r="C2125" s="35">
        <f t="shared" si="84"/>
        <v>0</v>
      </c>
      <c r="D2125" s="212"/>
      <c r="E2125" s="35"/>
      <c r="F2125" s="144"/>
      <c r="G2125" s="191"/>
      <c r="H2125" s="198"/>
      <c r="I2125" s="186"/>
      <c r="J2125" s="186"/>
      <c r="K2125" s="185"/>
      <c r="L2125" s="186"/>
      <c r="M2125" s="36">
        <f t="shared" si="85"/>
        <v>0</v>
      </c>
      <c r="N2125" s="37" t="s">
        <v>1443</v>
      </c>
      <c r="O2125" s="37" t="s">
        <v>8</v>
      </c>
      <c r="P2125" s="47" t="str">
        <f>IF(AND('331-CT'!$F$5=TH!H2125,OR(N2125="331",O2125="331")),"x","")</f>
        <v/>
      </c>
      <c r="Q2125" s="47" t="str">
        <f>IF(AND(B2125='111'!$L$11,OR($N2125=$Q$7,$O2125=$Q$7)),"x","")</f>
        <v/>
      </c>
      <c r="R2125" s="47" t="str">
        <f>IF(AND($N2125=$Q$7,$B2125&lt;'111'!$L$11),"x","")</f>
        <v/>
      </c>
      <c r="S2125" s="47" t="str">
        <f>IF(AND($O2125=$Q$7,$B2125&lt;'111'!$L$11),"x","")</f>
        <v/>
      </c>
    </row>
    <row r="2126" spans="1:19" ht="15.75" customHeight="1">
      <c r="A2126" s="152" t="str">
        <f>IF(B2126&lt;&gt;"",IF(AND(B2126='IN-TC'!$S$4,OR(TH!N2126="1111",TH!O2126="1111")),TH!D2126,""),"")</f>
        <v/>
      </c>
      <c r="B2126" s="34">
        <f t="shared" si="83"/>
        <v>1</v>
      </c>
      <c r="C2126" s="35">
        <f t="shared" si="84"/>
        <v>0</v>
      </c>
      <c r="D2126" s="212"/>
      <c r="E2126" s="35"/>
      <c r="F2126" s="144"/>
      <c r="G2126" s="191"/>
      <c r="H2126" s="198"/>
      <c r="I2126" s="186"/>
      <c r="J2126" s="186"/>
      <c r="K2126" s="185"/>
      <c r="L2126" s="186"/>
      <c r="M2126" s="36">
        <f t="shared" si="85"/>
        <v>0</v>
      </c>
      <c r="N2126" s="37" t="s">
        <v>1443</v>
      </c>
      <c r="O2126" s="37" t="s">
        <v>8</v>
      </c>
      <c r="P2126" s="47" t="str">
        <f>IF(AND('331-CT'!$F$5=TH!H2126,OR(N2126="331",O2126="331")),"x","")</f>
        <v/>
      </c>
      <c r="Q2126" s="47" t="str">
        <f>IF(AND(B2126='111'!$L$11,OR($N2126=$Q$7,$O2126=$Q$7)),"x","")</f>
        <v/>
      </c>
      <c r="R2126" s="47" t="str">
        <f>IF(AND($N2126=$Q$7,$B2126&lt;'111'!$L$11),"x","")</f>
        <v/>
      </c>
      <c r="S2126" s="47" t="str">
        <f>IF(AND($O2126=$Q$7,$B2126&lt;'111'!$L$11),"x","")</f>
        <v/>
      </c>
    </row>
    <row r="2127" spans="1:19" ht="15.75" customHeight="1">
      <c r="A2127" s="152" t="str">
        <f>IF(B2127&lt;&gt;"",IF(AND(B2127='IN-TC'!$S$4,OR(TH!N2127="1111",TH!O2127="1111")),TH!D2127,""),"")</f>
        <v/>
      </c>
      <c r="B2127" s="34">
        <f t="shared" si="83"/>
        <v>1</v>
      </c>
      <c r="C2127" s="35">
        <f t="shared" si="84"/>
        <v>0</v>
      </c>
      <c r="D2127" s="212"/>
      <c r="E2127" s="35"/>
      <c r="F2127" s="144"/>
      <c r="G2127" s="191"/>
      <c r="H2127" s="198"/>
      <c r="I2127" s="186"/>
      <c r="J2127" s="186"/>
      <c r="K2127" s="185"/>
      <c r="L2127" s="186"/>
      <c r="M2127" s="36">
        <f t="shared" si="85"/>
        <v>0</v>
      </c>
      <c r="N2127" s="37" t="s">
        <v>1443</v>
      </c>
      <c r="O2127" s="37" t="s">
        <v>8</v>
      </c>
      <c r="P2127" s="47" t="str">
        <f>IF(AND('331-CT'!$F$5=TH!H2127,OR(N2127="331",O2127="331")),"x","")</f>
        <v/>
      </c>
      <c r="Q2127" s="47" t="str">
        <f>IF(AND(B2127='111'!$L$11,OR($N2127=$Q$7,$O2127=$Q$7)),"x","")</f>
        <v/>
      </c>
      <c r="R2127" s="47" t="str">
        <f>IF(AND($N2127=$Q$7,$B2127&lt;'111'!$L$11),"x","")</f>
        <v/>
      </c>
      <c r="S2127" s="47" t="str">
        <f>IF(AND($O2127=$Q$7,$B2127&lt;'111'!$L$11),"x","")</f>
        <v/>
      </c>
    </row>
    <row r="2128" spans="1:19" ht="15.75" customHeight="1">
      <c r="A2128" s="152" t="str">
        <f>IF(B2128&lt;&gt;"",IF(AND(B2128='IN-TC'!$S$4,OR(TH!N2128="1111",TH!O2128="1111")),TH!D2128,""),"")</f>
        <v/>
      </c>
      <c r="B2128" s="34">
        <f t="shared" si="83"/>
        <v>1</v>
      </c>
      <c r="C2128" s="35">
        <f t="shared" si="84"/>
        <v>0</v>
      </c>
      <c r="D2128" s="212"/>
      <c r="E2128" s="35"/>
      <c r="F2128" s="144"/>
      <c r="G2128" s="191"/>
      <c r="H2128" s="198"/>
      <c r="I2128" s="186"/>
      <c r="J2128" s="186"/>
      <c r="K2128" s="185"/>
      <c r="L2128" s="186"/>
      <c r="M2128" s="36">
        <f t="shared" si="85"/>
        <v>0</v>
      </c>
      <c r="N2128" s="37" t="s">
        <v>1443</v>
      </c>
      <c r="O2128" s="37" t="s">
        <v>8</v>
      </c>
      <c r="P2128" s="47" t="str">
        <f>IF(AND('331-CT'!$F$5=TH!H2128,OR(N2128="331",O2128="331")),"x","")</f>
        <v/>
      </c>
      <c r="Q2128" s="47" t="str">
        <f>IF(AND(B2128='111'!$L$11,OR($N2128=$Q$7,$O2128=$Q$7)),"x","")</f>
        <v/>
      </c>
      <c r="R2128" s="47" t="str">
        <f>IF(AND($N2128=$Q$7,$B2128&lt;'111'!$L$11),"x","")</f>
        <v/>
      </c>
      <c r="S2128" s="47" t="str">
        <f>IF(AND($O2128=$Q$7,$B2128&lt;'111'!$L$11),"x","")</f>
        <v/>
      </c>
    </row>
    <row r="2129" spans="1:19" ht="15.75" customHeight="1">
      <c r="A2129" s="152" t="str">
        <f>IF(B2129&lt;&gt;"",IF(AND(B2129='IN-TC'!$S$4,OR(TH!N2129="1111",TH!O2129="1111")),TH!D2129,""),"")</f>
        <v/>
      </c>
      <c r="B2129" s="34">
        <f t="shared" si="83"/>
        <v>1</v>
      </c>
      <c r="C2129" s="35">
        <f t="shared" si="84"/>
        <v>0</v>
      </c>
      <c r="D2129" s="212"/>
      <c r="E2129" s="35"/>
      <c r="F2129" s="144"/>
      <c r="G2129" s="191"/>
      <c r="H2129" s="198"/>
      <c r="I2129" s="186"/>
      <c r="J2129" s="186"/>
      <c r="K2129" s="185"/>
      <c r="L2129" s="186"/>
      <c r="M2129" s="36">
        <f t="shared" si="85"/>
        <v>0</v>
      </c>
      <c r="N2129" s="37" t="s">
        <v>1443</v>
      </c>
      <c r="O2129" s="37" t="s">
        <v>8</v>
      </c>
      <c r="P2129" s="47" t="str">
        <f>IF(AND('331-CT'!$F$5=TH!H2129,OR(N2129="331",O2129="331")),"x","")</f>
        <v/>
      </c>
      <c r="Q2129" s="47" t="str">
        <f>IF(AND(B2129='111'!$L$11,OR($N2129=$Q$7,$O2129=$Q$7)),"x","")</f>
        <v/>
      </c>
      <c r="R2129" s="47" t="str">
        <f>IF(AND($N2129=$Q$7,$B2129&lt;'111'!$L$11),"x","")</f>
        <v/>
      </c>
      <c r="S2129" s="47" t="str">
        <f>IF(AND($O2129=$Q$7,$B2129&lt;'111'!$L$11),"x","")</f>
        <v/>
      </c>
    </row>
    <row r="2130" spans="1:19" ht="15.75" customHeight="1">
      <c r="A2130" s="152" t="str">
        <f>IF(B2130&lt;&gt;"",IF(AND(B2130='IN-TC'!$S$4,OR(TH!N2130="1111",TH!O2130="1111")),TH!D2130,""),"")</f>
        <v/>
      </c>
      <c r="B2130" s="34">
        <f t="shared" si="83"/>
        <v>1</v>
      </c>
      <c r="C2130" s="35">
        <f t="shared" si="84"/>
        <v>0</v>
      </c>
      <c r="D2130" s="212"/>
      <c r="E2130" s="35"/>
      <c r="F2130" s="144"/>
      <c r="G2130" s="191"/>
      <c r="H2130" s="198"/>
      <c r="I2130" s="186"/>
      <c r="J2130" s="186"/>
      <c r="K2130" s="185"/>
      <c r="L2130" s="186"/>
      <c r="M2130" s="36">
        <f t="shared" si="85"/>
        <v>0</v>
      </c>
      <c r="N2130" s="37" t="s">
        <v>1443</v>
      </c>
      <c r="O2130" s="37" t="s">
        <v>8</v>
      </c>
      <c r="P2130" s="47" t="str">
        <f>IF(AND('331-CT'!$F$5=TH!H2130,OR(N2130="331",O2130="331")),"x","")</f>
        <v/>
      </c>
      <c r="Q2130" s="47" t="str">
        <f>IF(AND(B2130='111'!$L$11,OR($N2130=$Q$7,$O2130=$Q$7)),"x","")</f>
        <v/>
      </c>
      <c r="R2130" s="47" t="str">
        <f>IF(AND($N2130=$Q$7,$B2130&lt;'111'!$L$11),"x","")</f>
        <v/>
      </c>
      <c r="S2130" s="47" t="str">
        <f>IF(AND($O2130=$Q$7,$B2130&lt;'111'!$L$11),"x","")</f>
        <v/>
      </c>
    </row>
    <row r="2131" spans="1:19" ht="15.75" customHeight="1">
      <c r="A2131" s="152" t="str">
        <f>IF(B2131&lt;&gt;"",IF(AND(B2131='IN-TC'!$S$4,OR(TH!N2131="1111",TH!O2131="1111")),TH!D2131,""),"")</f>
        <v/>
      </c>
      <c r="B2131" s="34">
        <f t="shared" si="83"/>
        <v>1</v>
      </c>
      <c r="C2131" s="35">
        <f t="shared" si="84"/>
        <v>0</v>
      </c>
      <c r="D2131" s="212"/>
      <c r="E2131" s="35"/>
      <c r="F2131" s="144"/>
      <c r="G2131" s="191"/>
      <c r="H2131" s="198"/>
      <c r="I2131" s="186"/>
      <c r="J2131" s="186"/>
      <c r="K2131" s="185"/>
      <c r="L2131" s="186"/>
      <c r="M2131" s="36">
        <f t="shared" si="85"/>
        <v>0</v>
      </c>
      <c r="N2131" s="37" t="s">
        <v>1443</v>
      </c>
      <c r="O2131" s="37" t="s">
        <v>8</v>
      </c>
      <c r="P2131" s="47" t="str">
        <f>IF(AND('331-CT'!$F$5=TH!H2131,OR(N2131="331",O2131="331")),"x","")</f>
        <v/>
      </c>
      <c r="Q2131" s="47" t="str">
        <f>IF(AND(B2131='111'!$L$11,OR($N2131=$Q$7,$O2131=$Q$7)),"x","")</f>
        <v/>
      </c>
      <c r="R2131" s="47" t="str">
        <f>IF(AND($N2131=$Q$7,$B2131&lt;'111'!$L$11),"x","")</f>
        <v/>
      </c>
      <c r="S2131" s="47" t="str">
        <f>IF(AND($O2131=$Q$7,$B2131&lt;'111'!$L$11),"x","")</f>
        <v/>
      </c>
    </row>
    <row r="2132" spans="1:19" ht="15.75" customHeight="1">
      <c r="A2132" s="152" t="str">
        <f>IF(B2132&lt;&gt;"",IF(AND(B2132='IN-TC'!$S$4,OR(TH!N2132="1111",TH!O2132="1111")),TH!D2132,""),"")</f>
        <v/>
      </c>
      <c r="B2132" s="34">
        <f t="shared" si="83"/>
        <v>1</v>
      </c>
      <c r="C2132" s="35">
        <f t="shared" si="84"/>
        <v>0</v>
      </c>
      <c r="D2132" s="212"/>
      <c r="E2132" s="35"/>
      <c r="F2132" s="144"/>
      <c r="G2132" s="191"/>
      <c r="H2132" s="198"/>
      <c r="I2132" s="186"/>
      <c r="J2132" s="186"/>
      <c r="K2132" s="185"/>
      <c r="L2132" s="186"/>
      <c r="M2132" s="36">
        <f t="shared" si="85"/>
        <v>0</v>
      </c>
      <c r="N2132" s="37" t="s">
        <v>1443</v>
      </c>
      <c r="O2132" s="37" t="s">
        <v>8</v>
      </c>
      <c r="P2132" s="47" t="str">
        <f>IF(AND('331-CT'!$F$5=TH!H2132,OR(N2132="331",O2132="331")),"x","")</f>
        <v/>
      </c>
      <c r="Q2132" s="47" t="str">
        <f>IF(AND(B2132='111'!$L$11,OR($N2132=$Q$7,$O2132=$Q$7)),"x","")</f>
        <v/>
      </c>
      <c r="R2132" s="47" t="str">
        <f>IF(AND($N2132=$Q$7,$B2132&lt;'111'!$L$11),"x","")</f>
        <v/>
      </c>
      <c r="S2132" s="47" t="str">
        <f>IF(AND($O2132=$Q$7,$B2132&lt;'111'!$L$11),"x","")</f>
        <v/>
      </c>
    </row>
    <row r="2133" spans="1:19" ht="15.75" customHeight="1">
      <c r="A2133" s="152" t="str">
        <f>IF(B2133&lt;&gt;"",IF(AND(B2133='IN-TC'!$S$4,OR(TH!N2133="1111",TH!O2133="1111")),TH!D2133,""),"")</f>
        <v/>
      </c>
      <c r="B2133" s="34">
        <f t="shared" si="83"/>
        <v>1</v>
      </c>
      <c r="C2133" s="35">
        <f t="shared" si="84"/>
        <v>0</v>
      </c>
      <c r="D2133" s="212"/>
      <c r="E2133" s="35"/>
      <c r="F2133" s="144"/>
      <c r="G2133" s="191"/>
      <c r="H2133" s="198"/>
      <c r="I2133" s="186"/>
      <c r="J2133" s="186"/>
      <c r="K2133" s="185"/>
      <c r="L2133" s="186"/>
      <c r="M2133" s="36">
        <f t="shared" si="85"/>
        <v>0</v>
      </c>
      <c r="N2133" s="37" t="s">
        <v>1443</v>
      </c>
      <c r="O2133" s="37" t="s">
        <v>8</v>
      </c>
      <c r="P2133" s="47" t="str">
        <f>IF(AND('331-CT'!$F$5=TH!H2133,OR(N2133="331",O2133="331")),"x","")</f>
        <v/>
      </c>
      <c r="Q2133" s="47" t="str">
        <f>IF(AND(B2133='111'!$L$11,OR($N2133=$Q$7,$O2133=$Q$7)),"x","")</f>
        <v/>
      </c>
      <c r="R2133" s="47" t="str">
        <f>IF(AND($N2133=$Q$7,$B2133&lt;'111'!$L$11),"x","")</f>
        <v/>
      </c>
      <c r="S2133" s="47" t="str">
        <f>IF(AND($O2133=$Q$7,$B2133&lt;'111'!$L$11),"x","")</f>
        <v/>
      </c>
    </row>
    <row r="2134" spans="1:19" ht="15.75" customHeight="1">
      <c r="A2134" s="152" t="str">
        <f>IF(B2134&lt;&gt;"",IF(AND(B2134='IN-TC'!$S$4,OR(TH!N2134="1111",TH!O2134="1111")),TH!D2134,""),"")</f>
        <v/>
      </c>
      <c r="B2134" s="34">
        <f t="shared" si="83"/>
        <v>1</v>
      </c>
      <c r="C2134" s="35">
        <f t="shared" si="84"/>
        <v>0</v>
      </c>
      <c r="D2134" s="212"/>
      <c r="E2134" s="35"/>
      <c r="F2134" s="144"/>
      <c r="G2134" s="191"/>
      <c r="H2134" s="198"/>
      <c r="I2134" s="186"/>
      <c r="J2134" s="186"/>
      <c r="K2134" s="185"/>
      <c r="L2134" s="186"/>
      <c r="M2134" s="36">
        <f t="shared" si="85"/>
        <v>0</v>
      </c>
      <c r="N2134" s="37" t="s">
        <v>1443</v>
      </c>
      <c r="O2134" s="37" t="s">
        <v>8</v>
      </c>
      <c r="P2134" s="47" t="str">
        <f>IF(AND('331-CT'!$F$5=TH!H2134,OR(N2134="331",O2134="331")),"x","")</f>
        <v/>
      </c>
      <c r="Q2134" s="47" t="str">
        <f>IF(AND(B2134='111'!$L$11,OR($N2134=$Q$7,$O2134=$Q$7)),"x","")</f>
        <v/>
      </c>
      <c r="R2134" s="47" t="str">
        <f>IF(AND($N2134=$Q$7,$B2134&lt;'111'!$L$11),"x","")</f>
        <v/>
      </c>
      <c r="S2134" s="47" t="str">
        <f>IF(AND($O2134=$Q$7,$B2134&lt;'111'!$L$11),"x","")</f>
        <v/>
      </c>
    </row>
    <row r="2135" spans="1:19" ht="15.75" customHeight="1">
      <c r="A2135" s="152" t="str">
        <f>IF(B2135&lt;&gt;"",IF(AND(B2135='IN-TC'!$S$4,OR(TH!N2135="1111",TH!O2135="1111")),TH!D2135,""),"")</f>
        <v/>
      </c>
      <c r="B2135" s="34">
        <f t="shared" si="83"/>
        <v>1</v>
      </c>
      <c r="C2135" s="35">
        <f t="shared" si="84"/>
        <v>0</v>
      </c>
      <c r="D2135" s="212"/>
      <c r="E2135" s="35"/>
      <c r="F2135" s="144"/>
      <c r="G2135" s="191"/>
      <c r="H2135" s="198"/>
      <c r="I2135" s="186"/>
      <c r="J2135" s="186"/>
      <c r="K2135" s="185"/>
      <c r="L2135" s="186"/>
      <c r="M2135" s="36">
        <f t="shared" si="85"/>
        <v>0</v>
      </c>
      <c r="N2135" s="37" t="s">
        <v>1443</v>
      </c>
      <c r="O2135" s="37" t="s">
        <v>8</v>
      </c>
      <c r="P2135" s="47" t="str">
        <f>IF(AND('331-CT'!$F$5=TH!H2135,OR(N2135="331",O2135="331")),"x","")</f>
        <v/>
      </c>
      <c r="Q2135" s="47" t="str">
        <f>IF(AND(B2135='111'!$L$11,OR($N2135=$Q$7,$O2135=$Q$7)),"x","")</f>
        <v/>
      </c>
      <c r="R2135" s="47" t="str">
        <f>IF(AND($N2135=$Q$7,$B2135&lt;'111'!$L$11),"x","")</f>
        <v/>
      </c>
      <c r="S2135" s="47" t="str">
        <f>IF(AND($O2135=$Q$7,$B2135&lt;'111'!$L$11),"x","")</f>
        <v/>
      </c>
    </row>
    <row r="2136" spans="1:19" ht="15.75" customHeight="1">
      <c r="A2136" s="152" t="str">
        <f>IF(B2136&lt;&gt;"",IF(AND(B2136='IN-TC'!$S$4,OR(TH!N2136="1111",TH!O2136="1111")),TH!D2136,""),"")</f>
        <v/>
      </c>
      <c r="B2136" s="34">
        <f t="shared" si="83"/>
        <v>1</v>
      </c>
      <c r="C2136" s="35">
        <f t="shared" si="84"/>
        <v>0</v>
      </c>
      <c r="D2136" s="212"/>
      <c r="E2136" s="35"/>
      <c r="F2136" s="144"/>
      <c r="G2136" s="191"/>
      <c r="H2136" s="198"/>
      <c r="I2136" s="186"/>
      <c r="J2136" s="186"/>
      <c r="K2136" s="185"/>
      <c r="L2136" s="186"/>
      <c r="M2136" s="36">
        <f t="shared" si="85"/>
        <v>0</v>
      </c>
      <c r="N2136" s="37" t="s">
        <v>1443</v>
      </c>
      <c r="O2136" s="37" t="s">
        <v>8</v>
      </c>
      <c r="P2136" s="47" t="str">
        <f>IF(AND('331-CT'!$F$5=TH!H2136,OR(N2136="331",O2136="331")),"x","")</f>
        <v/>
      </c>
      <c r="Q2136" s="47" t="str">
        <f>IF(AND(B2136='111'!$L$11,OR($N2136=$Q$7,$O2136=$Q$7)),"x","")</f>
        <v/>
      </c>
      <c r="R2136" s="47" t="str">
        <f>IF(AND($N2136=$Q$7,$B2136&lt;'111'!$L$11),"x","")</f>
        <v/>
      </c>
      <c r="S2136" s="47" t="str">
        <f>IF(AND($O2136=$Q$7,$B2136&lt;'111'!$L$11),"x","")</f>
        <v/>
      </c>
    </row>
    <row r="2137" spans="1:19" ht="15.75" customHeight="1">
      <c r="A2137" s="152" t="str">
        <f>IF(B2137&lt;&gt;"",IF(AND(B2137='IN-TC'!$S$4,OR(TH!N2137="1111",TH!O2137="1111")),TH!D2137,""),"")</f>
        <v/>
      </c>
      <c r="B2137" s="34">
        <f t="shared" si="83"/>
        <v>1</v>
      </c>
      <c r="C2137" s="35">
        <f t="shared" si="84"/>
        <v>0</v>
      </c>
      <c r="D2137" s="212"/>
      <c r="E2137" s="35"/>
      <c r="F2137" s="144"/>
      <c r="G2137" s="191"/>
      <c r="H2137" s="198"/>
      <c r="I2137" s="186"/>
      <c r="J2137" s="186"/>
      <c r="K2137" s="185"/>
      <c r="L2137" s="186"/>
      <c r="M2137" s="36">
        <f t="shared" si="85"/>
        <v>0</v>
      </c>
      <c r="N2137" s="37" t="s">
        <v>1443</v>
      </c>
      <c r="O2137" s="37" t="s">
        <v>8</v>
      </c>
      <c r="P2137" s="47" t="str">
        <f>IF(AND('331-CT'!$F$5=TH!H2137,OR(N2137="331",O2137="331")),"x","")</f>
        <v/>
      </c>
      <c r="Q2137" s="47" t="str">
        <f>IF(AND(B2137='111'!$L$11,OR($N2137=$Q$7,$O2137=$Q$7)),"x","")</f>
        <v/>
      </c>
      <c r="R2137" s="47" t="str">
        <f>IF(AND($N2137=$Q$7,$B2137&lt;'111'!$L$11),"x","")</f>
        <v/>
      </c>
      <c r="S2137" s="47" t="str">
        <f>IF(AND($O2137=$Q$7,$B2137&lt;'111'!$L$11),"x","")</f>
        <v/>
      </c>
    </row>
    <row r="2138" spans="1:19" ht="15.75" customHeight="1">
      <c r="A2138" s="152" t="str">
        <f>IF(B2138&lt;&gt;"",IF(AND(B2138='IN-TC'!$S$4,OR(TH!N2138="1111",TH!O2138="1111")),TH!D2138,""),"")</f>
        <v/>
      </c>
      <c r="B2138" s="34">
        <f t="shared" si="83"/>
        <v>1</v>
      </c>
      <c r="C2138" s="35">
        <f t="shared" si="84"/>
        <v>0</v>
      </c>
      <c r="D2138" s="212"/>
      <c r="E2138" s="35"/>
      <c r="F2138" s="144"/>
      <c r="G2138" s="191"/>
      <c r="H2138" s="198"/>
      <c r="I2138" s="186"/>
      <c r="J2138" s="186"/>
      <c r="K2138" s="185"/>
      <c r="L2138" s="186"/>
      <c r="M2138" s="36">
        <f t="shared" si="85"/>
        <v>0</v>
      </c>
      <c r="N2138" s="37" t="s">
        <v>1443</v>
      </c>
      <c r="O2138" s="37" t="s">
        <v>8</v>
      </c>
      <c r="P2138" s="47" t="str">
        <f>IF(AND('331-CT'!$F$5=TH!H2138,OR(N2138="331",O2138="331")),"x","")</f>
        <v/>
      </c>
      <c r="Q2138" s="47" t="str">
        <f>IF(AND(B2138='111'!$L$11,OR($N2138=$Q$7,$O2138=$Q$7)),"x","")</f>
        <v/>
      </c>
      <c r="R2138" s="47" t="str">
        <f>IF(AND($N2138=$Q$7,$B2138&lt;'111'!$L$11),"x","")</f>
        <v/>
      </c>
      <c r="S2138" s="47" t="str">
        <f>IF(AND($O2138=$Q$7,$B2138&lt;'111'!$L$11),"x","")</f>
        <v/>
      </c>
    </row>
    <row r="2139" spans="1:19" ht="15.75" customHeight="1">
      <c r="A2139" s="152" t="str">
        <f>IF(B2139&lt;&gt;"",IF(AND(B2139='IN-TC'!$S$4,OR(TH!N2139="1111",TH!O2139="1111")),TH!D2139,""),"")</f>
        <v/>
      </c>
      <c r="B2139" s="34">
        <f t="shared" si="83"/>
        <v>1</v>
      </c>
      <c r="C2139" s="35">
        <f t="shared" si="84"/>
        <v>0</v>
      </c>
      <c r="D2139" s="212"/>
      <c r="E2139" s="35"/>
      <c r="F2139" s="144"/>
      <c r="G2139" s="191"/>
      <c r="H2139" s="198"/>
      <c r="I2139" s="186"/>
      <c r="J2139" s="186"/>
      <c r="K2139" s="185"/>
      <c r="L2139" s="186"/>
      <c r="M2139" s="36">
        <f t="shared" si="85"/>
        <v>0</v>
      </c>
      <c r="N2139" s="37" t="s">
        <v>1443</v>
      </c>
      <c r="O2139" s="37" t="s">
        <v>8</v>
      </c>
      <c r="P2139" s="47" t="str">
        <f>IF(AND('331-CT'!$F$5=TH!H2139,OR(N2139="331",O2139="331")),"x","")</f>
        <v/>
      </c>
      <c r="Q2139" s="47" t="str">
        <f>IF(AND(B2139='111'!$L$11,OR($N2139=$Q$7,$O2139=$Q$7)),"x","")</f>
        <v/>
      </c>
      <c r="R2139" s="47" t="str">
        <f>IF(AND($N2139=$Q$7,$B2139&lt;'111'!$L$11),"x","")</f>
        <v/>
      </c>
      <c r="S2139" s="47" t="str">
        <f>IF(AND($O2139=$Q$7,$B2139&lt;'111'!$L$11),"x","")</f>
        <v/>
      </c>
    </row>
    <row r="2140" spans="1:19" ht="15.75" customHeight="1">
      <c r="A2140" s="152" t="str">
        <f>IF(B2140&lt;&gt;"",IF(AND(B2140='IN-TC'!$S$4,OR(TH!N2140="1111",TH!O2140="1111")),TH!D2140,""),"")</f>
        <v/>
      </c>
      <c r="B2140" s="34">
        <f t="shared" si="83"/>
        <v>1</v>
      </c>
      <c r="C2140" s="35">
        <f t="shared" si="84"/>
        <v>0</v>
      </c>
      <c r="D2140" s="212"/>
      <c r="E2140" s="35"/>
      <c r="F2140" s="144"/>
      <c r="G2140" s="191"/>
      <c r="H2140" s="198"/>
      <c r="I2140" s="186"/>
      <c r="J2140" s="186"/>
      <c r="K2140" s="185"/>
      <c r="L2140" s="186"/>
      <c r="M2140" s="36">
        <f t="shared" si="85"/>
        <v>0</v>
      </c>
      <c r="N2140" s="37" t="s">
        <v>1443</v>
      </c>
      <c r="O2140" s="37" t="s">
        <v>8</v>
      </c>
      <c r="P2140" s="47" t="str">
        <f>IF(AND('331-CT'!$F$5=TH!H2140,OR(N2140="331",O2140="331")),"x","")</f>
        <v/>
      </c>
      <c r="Q2140" s="47" t="str">
        <f>IF(AND(B2140='111'!$L$11,OR($N2140=$Q$7,$O2140=$Q$7)),"x","")</f>
        <v/>
      </c>
      <c r="R2140" s="47" t="str">
        <f>IF(AND($N2140=$Q$7,$B2140&lt;'111'!$L$11),"x","")</f>
        <v/>
      </c>
      <c r="S2140" s="47" t="str">
        <f>IF(AND($O2140=$Q$7,$B2140&lt;'111'!$L$11),"x","")</f>
        <v/>
      </c>
    </row>
    <row r="2141" spans="1:19" ht="15.75" customHeight="1">
      <c r="A2141" s="152" t="str">
        <f>IF(B2141&lt;&gt;"",IF(AND(B2141='IN-TC'!$S$4,OR(TH!N2141="1111",TH!O2141="1111")),TH!D2141,""),"")</f>
        <v/>
      </c>
      <c r="B2141" s="34">
        <f t="shared" si="83"/>
        <v>1</v>
      </c>
      <c r="C2141" s="35">
        <f t="shared" si="84"/>
        <v>0</v>
      </c>
      <c r="D2141" s="212"/>
      <c r="E2141" s="35"/>
      <c r="F2141" s="144"/>
      <c r="G2141" s="191"/>
      <c r="H2141" s="198"/>
      <c r="I2141" s="186"/>
      <c r="J2141" s="186"/>
      <c r="K2141" s="185"/>
      <c r="L2141" s="186"/>
      <c r="M2141" s="36">
        <f t="shared" si="85"/>
        <v>0</v>
      </c>
      <c r="N2141" s="37" t="s">
        <v>1443</v>
      </c>
      <c r="O2141" s="37" t="s">
        <v>8</v>
      </c>
      <c r="P2141" s="47" t="str">
        <f>IF(AND('331-CT'!$F$5=TH!H2141,OR(N2141="331",O2141="331")),"x","")</f>
        <v/>
      </c>
      <c r="Q2141" s="47" t="str">
        <f>IF(AND(B2141='111'!$L$11,OR($N2141=$Q$7,$O2141=$Q$7)),"x","")</f>
        <v/>
      </c>
      <c r="R2141" s="47" t="str">
        <f>IF(AND($N2141=$Q$7,$B2141&lt;'111'!$L$11),"x","")</f>
        <v/>
      </c>
      <c r="S2141" s="47" t="str">
        <f>IF(AND($O2141=$Q$7,$B2141&lt;'111'!$L$11),"x","")</f>
        <v/>
      </c>
    </row>
    <row r="2142" spans="1:19" ht="15.75" customHeight="1">
      <c r="A2142" s="152" t="str">
        <f>IF(B2142&lt;&gt;"",IF(AND(B2142='IN-TC'!$S$4,OR(TH!N2142="1111",TH!O2142="1111")),TH!D2142,""),"")</f>
        <v/>
      </c>
      <c r="B2142" s="34">
        <f t="shared" si="83"/>
        <v>1</v>
      </c>
      <c r="C2142" s="35">
        <f t="shared" si="84"/>
        <v>0</v>
      </c>
      <c r="D2142" s="212"/>
      <c r="E2142" s="35"/>
      <c r="F2142" s="144"/>
      <c r="G2142" s="191"/>
      <c r="H2142" s="198"/>
      <c r="I2142" s="186"/>
      <c r="J2142" s="186"/>
      <c r="K2142" s="185"/>
      <c r="L2142" s="186"/>
      <c r="M2142" s="36">
        <f t="shared" si="85"/>
        <v>0</v>
      </c>
      <c r="N2142" s="37" t="s">
        <v>1443</v>
      </c>
      <c r="O2142" s="37" t="s">
        <v>8</v>
      </c>
      <c r="P2142" s="47" t="str">
        <f>IF(AND('331-CT'!$F$5=TH!H2142,OR(N2142="331",O2142="331")),"x","")</f>
        <v/>
      </c>
      <c r="Q2142" s="47" t="str">
        <f>IF(AND(B2142='111'!$L$11,OR($N2142=$Q$7,$O2142=$Q$7)),"x","")</f>
        <v/>
      </c>
      <c r="R2142" s="47" t="str">
        <f>IF(AND($N2142=$Q$7,$B2142&lt;'111'!$L$11),"x","")</f>
        <v/>
      </c>
      <c r="S2142" s="47" t="str">
        <f>IF(AND($O2142=$Q$7,$B2142&lt;'111'!$L$11),"x","")</f>
        <v/>
      </c>
    </row>
    <row r="2143" spans="1:19" ht="15.75" customHeight="1">
      <c r="A2143" s="152" t="str">
        <f>IF(B2143&lt;&gt;"",IF(AND(B2143='IN-TC'!$S$4,OR(TH!N2143="1111",TH!O2143="1111")),TH!D2143,""),"")</f>
        <v/>
      </c>
      <c r="B2143" s="34">
        <f t="shared" si="83"/>
        <v>1</v>
      </c>
      <c r="C2143" s="35">
        <f t="shared" si="84"/>
        <v>0</v>
      </c>
      <c r="D2143" s="212"/>
      <c r="E2143" s="35"/>
      <c r="F2143" s="144"/>
      <c r="G2143" s="191"/>
      <c r="H2143" s="198"/>
      <c r="I2143" s="186"/>
      <c r="J2143" s="186"/>
      <c r="K2143" s="185"/>
      <c r="L2143" s="186"/>
      <c r="M2143" s="36">
        <f t="shared" si="85"/>
        <v>0</v>
      </c>
      <c r="N2143" s="37" t="s">
        <v>1443</v>
      </c>
      <c r="O2143" s="37" t="s">
        <v>8</v>
      </c>
      <c r="P2143" s="47" t="str">
        <f>IF(AND('331-CT'!$F$5=TH!H2143,OR(N2143="331",O2143="331")),"x","")</f>
        <v/>
      </c>
      <c r="Q2143" s="47" t="str">
        <f>IF(AND(B2143='111'!$L$11,OR($N2143=$Q$7,$O2143=$Q$7)),"x","")</f>
        <v/>
      </c>
      <c r="R2143" s="47" t="str">
        <f>IF(AND($N2143=$Q$7,$B2143&lt;'111'!$L$11),"x","")</f>
        <v/>
      </c>
      <c r="S2143" s="47" t="str">
        <f>IF(AND($O2143=$Q$7,$B2143&lt;'111'!$L$11),"x","")</f>
        <v/>
      </c>
    </row>
    <row r="2144" spans="1:19" ht="15.75" customHeight="1">
      <c r="A2144" s="152" t="str">
        <f>IF(B2144&lt;&gt;"",IF(AND(B2144='IN-TC'!$S$4,OR(TH!N2144="1111",TH!O2144="1111")),TH!D2144,""),"")</f>
        <v/>
      </c>
      <c r="B2144" s="34">
        <f t="shared" si="83"/>
        <v>1</v>
      </c>
      <c r="C2144" s="35">
        <f t="shared" si="84"/>
        <v>0</v>
      </c>
      <c r="D2144" s="212"/>
      <c r="E2144" s="35"/>
      <c r="F2144" s="144"/>
      <c r="G2144" s="191"/>
      <c r="H2144" s="198"/>
      <c r="I2144" s="186"/>
      <c r="J2144" s="186"/>
      <c r="K2144" s="185"/>
      <c r="L2144" s="186"/>
      <c r="M2144" s="36">
        <f t="shared" si="85"/>
        <v>0</v>
      </c>
      <c r="N2144" s="37" t="s">
        <v>1443</v>
      </c>
      <c r="O2144" s="37" t="s">
        <v>8</v>
      </c>
      <c r="P2144" s="47" t="str">
        <f>IF(AND('331-CT'!$F$5=TH!H2144,OR(N2144="331",O2144="331")),"x","")</f>
        <v/>
      </c>
      <c r="Q2144" s="47" t="str">
        <f>IF(AND(B2144='111'!$L$11,OR($N2144=$Q$7,$O2144=$Q$7)),"x","")</f>
        <v/>
      </c>
      <c r="R2144" s="47" t="str">
        <f>IF(AND($N2144=$Q$7,$B2144&lt;'111'!$L$11),"x","")</f>
        <v/>
      </c>
      <c r="S2144" s="47" t="str">
        <f>IF(AND($O2144=$Q$7,$B2144&lt;'111'!$L$11),"x","")</f>
        <v/>
      </c>
    </row>
    <row r="2145" spans="1:19" ht="15.75" customHeight="1">
      <c r="A2145" s="152" t="str">
        <f>IF(B2145&lt;&gt;"",IF(AND(B2145='IN-TC'!$S$4,OR(TH!N2145="1111",TH!O2145="1111")),TH!D2145,""),"")</f>
        <v/>
      </c>
      <c r="B2145" s="34">
        <f t="shared" si="83"/>
        <v>1</v>
      </c>
      <c r="C2145" s="35">
        <f t="shared" si="84"/>
        <v>0</v>
      </c>
      <c r="D2145" s="212"/>
      <c r="E2145" s="35"/>
      <c r="F2145" s="144"/>
      <c r="G2145" s="191"/>
      <c r="H2145" s="198"/>
      <c r="I2145" s="186"/>
      <c r="J2145" s="186"/>
      <c r="K2145" s="185"/>
      <c r="L2145" s="186"/>
      <c r="M2145" s="36">
        <f t="shared" si="85"/>
        <v>0</v>
      </c>
      <c r="N2145" s="37" t="s">
        <v>1443</v>
      </c>
      <c r="O2145" s="37" t="s">
        <v>8</v>
      </c>
      <c r="P2145" s="47" t="str">
        <f>IF(AND('331-CT'!$F$5=TH!H2145,OR(N2145="331",O2145="331")),"x","")</f>
        <v/>
      </c>
      <c r="Q2145" s="47" t="str">
        <f>IF(AND(B2145='111'!$L$11,OR($N2145=$Q$7,$O2145=$Q$7)),"x","")</f>
        <v/>
      </c>
      <c r="R2145" s="47" t="str">
        <f>IF(AND($N2145=$Q$7,$B2145&lt;'111'!$L$11),"x","")</f>
        <v/>
      </c>
      <c r="S2145" s="47" t="str">
        <f>IF(AND($O2145=$Q$7,$B2145&lt;'111'!$L$11),"x","")</f>
        <v/>
      </c>
    </row>
    <row r="2146" spans="1:19" ht="15.75" customHeight="1">
      <c r="A2146" s="152" t="str">
        <f>IF(B2146&lt;&gt;"",IF(AND(B2146='IN-TC'!$S$4,OR(TH!N2146="1111",TH!O2146="1111")),TH!D2146,""),"")</f>
        <v/>
      </c>
      <c r="B2146" s="34">
        <f t="shared" si="83"/>
        <v>1</v>
      </c>
      <c r="C2146" s="35">
        <f t="shared" si="84"/>
        <v>0</v>
      </c>
      <c r="D2146" s="212"/>
      <c r="E2146" s="35"/>
      <c r="F2146" s="144"/>
      <c r="G2146" s="191"/>
      <c r="H2146" s="198"/>
      <c r="I2146" s="186"/>
      <c r="J2146" s="186"/>
      <c r="K2146" s="185"/>
      <c r="L2146" s="186"/>
      <c r="M2146" s="36">
        <f t="shared" si="85"/>
        <v>0</v>
      </c>
      <c r="N2146" s="37" t="s">
        <v>1443</v>
      </c>
      <c r="O2146" s="37" t="s">
        <v>8</v>
      </c>
      <c r="P2146" s="47" t="str">
        <f>IF(AND('331-CT'!$F$5=TH!H2146,OR(N2146="331",O2146="331")),"x","")</f>
        <v/>
      </c>
      <c r="Q2146" s="47" t="str">
        <f>IF(AND(B2146='111'!$L$11,OR($N2146=$Q$7,$O2146=$Q$7)),"x","")</f>
        <v/>
      </c>
      <c r="R2146" s="47" t="str">
        <f>IF(AND($N2146=$Q$7,$B2146&lt;'111'!$L$11),"x","")</f>
        <v/>
      </c>
      <c r="S2146" s="47" t="str">
        <f>IF(AND($O2146=$Q$7,$B2146&lt;'111'!$L$11),"x","")</f>
        <v/>
      </c>
    </row>
    <row r="2147" spans="1:19" ht="15.75" customHeight="1">
      <c r="A2147" s="152" t="str">
        <f>IF(B2147&lt;&gt;"",IF(AND(B2147='IN-TC'!$S$4,OR(TH!N2147="1111",TH!O2147="1111")),TH!D2147,""),"")</f>
        <v/>
      </c>
      <c r="B2147" s="34">
        <f t="shared" si="83"/>
        <v>1</v>
      </c>
      <c r="C2147" s="35">
        <f t="shared" si="84"/>
        <v>0</v>
      </c>
      <c r="D2147" s="212"/>
      <c r="E2147" s="35"/>
      <c r="F2147" s="144"/>
      <c r="G2147" s="191"/>
      <c r="H2147" s="198"/>
      <c r="I2147" s="186"/>
      <c r="J2147" s="186"/>
      <c r="K2147" s="185"/>
      <c r="L2147" s="186"/>
      <c r="M2147" s="36">
        <f t="shared" si="85"/>
        <v>0</v>
      </c>
      <c r="N2147" s="37" t="s">
        <v>1443</v>
      </c>
      <c r="O2147" s="37" t="s">
        <v>8</v>
      </c>
      <c r="P2147" s="47" t="str">
        <f>IF(AND('331-CT'!$F$5=TH!H2147,OR(N2147="331",O2147="331")),"x","")</f>
        <v/>
      </c>
      <c r="Q2147" s="47" t="str">
        <f>IF(AND(B2147='111'!$L$11,OR($N2147=$Q$7,$O2147=$Q$7)),"x","")</f>
        <v/>
      </c>
      <c r="R2147" s="47" t="str">
        <f>IF(AND($N2147=$Q$7,$B2147&lt;'111'!$L$11),"x","")</f>
        <v/>
      </c>
      <c r="S2147" s="47" t="str">
        <f>IF(AND($O2147=$Q$7,$B2147&lt;'111'!$L$11),"x","")</f>
        <v/>
      </c>
    </row>
    <row r="2148" spans="1:19" ht="15.75" customHeight="1">
      <c r="A2148" s="152" t="str">
        <f>IF(B2148&lt;&gt;"",IF(AND(B2148='IN-TC'!$S$4,OR(TH!N2148="1111",TH!O2148="1111")),TH!D2148,""),"")</f>
        <v/>
      </c>
      <c r="B2148" s="34">
        <f t="shared" si="83"/>
        <v>1</v>
      </c>
      <c r="C2148" s="35">
        <f t="shared" si="84"/>
        <v>0</v>
      </c>
      <c r="D2148" s="212"/>
      <c r="E2148" s="35"/>
      <c r="F2148" s="144"/>
      <c r="G2148" s="191"/>
      <c r="H2148" s="198"/>
      <c r="I2148" s="186"/>
      <c r="J2148" s="186"/>
      <c r="K2148" s="185"/>
      <c r="L2148" s="186"/>
      <c r="M2148" s="36">
        <f t="shared" si="85"/>
        <v>0</v>
      </c>
      <c r="N2148" s="37" t="s">
        <v>1443</v>
      </c>
      <c r="O2148" s="37" t="s">
        <v>8</v>
      </c>
      <c r="P2148" s="47" t="str">
        <f>IF(AND('331-CT'!$F$5=TH!H2148,OR(N2148="331",O2148="331")),"x","")</f>
        <v/>
      </c>
      <c r="Q2148" s="47" t="str">
        <f>IF(AND(B2148='111'!$L$11,OR($N2148=$Q$7,$O2148=$Q$7)),"x","")</f>
        <v/>
      </c>
      <c r="R2148" s="47" t="str">
        <f>IF(AND($N2148=$Q$7,$B2148&lt;'111'!$L$11),"x","")</f>
        <v/>
      </c>
      <c r="S2148" s="47" t="str">
        <f>IF(AND($O2148=$Q$7,$B2148&lt;'111'!$L$11),"x","")</f>
        <v/>
      </c>
    </row>
    <row r="2149" spans="1:19" ht="15.75" customHeight="1">
      <c r="A2149" s="152" t="str">
        <f>IF(B2149&lt;&gt;"",IF(AND(B2149='IN-TC'!$S$4,OR(TH!N2149="1111",TH!O2149="1111")),TH!D2149,""),"")</f>
        <v/>
      </c>
      <c r="B2149" s="34">
        <f t="shared" si="83"/>
        <v>1</v>
      </c>
      <c r="C2149" s="35">
        <f t="shared" si="84"/>
        <v>0</v>
      </c>
      <c r="D2149" s="212"/>
      <c r="E2149" s="35"/>
      <c r="F2149" s="144"/>
      <c r="G2149" s="191"/>
      <c r="H2149" s="198"/>
      <c r="I2149" s="186"/>
      <c r="J2149" s="186"/>
      <c r="K2149" s="185"/>
      <c r="L2149" s="186"/>
      <c r="M2149" s="36">
        <f t="shared" si="85"/>
        <v>0</v>
      </c>
      <c r="N2149" s="37" t="s">
        <v>1443</v>
      </c>
      <c r="O2149" s="37" t="s">
        <v>8</v>
      </c>
      <c r="P2149" s="47" t="str">
        <f>IF(AND('331-CT'!$F$5=TH!H2149,OR(N2149="331",O2149="331")),"x","")</f>
        <v/>
      </c>
      <c r="Q2149" s="47" t="str">
        <f>IF(AND(B2149='111'!$L$11,OR($N2149=$Q$7,$O2149=$Q$7)),"x","")</f>
        <v/>
      </c>
      <c r="R2149" s="47" t="str">
        <f>IF(AND($N2149=$Q$7,$B2149&lt;'111'!$L$11),"x","")</f>
        <v/>
      </c>
      <c r="S2149" s="47" t="str">
        <f>IF(AND($O2149=$Q$7,$B2149&lt;'111'!$L$11),"x","")</f>
        <v/>
      </c>
    </row>
    <row r="2150" spans="1:19" ht="15.75" customHeight="1">
      <c r="A2150" s="152" t="str">
        <f>IF(B2150&lt;&gt;"",IF(AND(B2150='IN-TC'!$S$4,OR(TH!N2150="1111",TH!O2150="1111")),TH!D2150,""),"")</f>
        <v/>
      </c>
      <c r="B2150" s="34">
        <f t="shared" si="83"/>
        <v>1</v>
      </c>
      <c r="C2150" s="35">
        <f t="shared" si="84"/>
        <v>0</v>
      </c>
      <c r="D2150" s="212"/>
      <c r="E2150" s="35"/>
      <c r="F2150" s="144"/>
      <c r="G2150" s="191"/>
      <c r="H2150" s="198"/>
      <c r="I2150" s="186"/>
      <c r="J2150" s="186"/>
      <c r="K2150" s="185"/>
      <c r="L2150" s="186"/>
      <c r="M2150" s="36">
        <f t="shared" si="85"/>
        <v>0</v>
      </c>
      <c r="N2150" s="37" t="s">
        <v>1443</v>
      </c>
      <c r="O2150" s="37" t="s">
        <v>8</v>
      </c>
      <c r="P2150" s="47" t="str">
        <f>IF(AND('331-CT'!$F$5=TH!H2150,OR(N2150="331",O2150="331")),"x","")</f>
        <v/>
      </c>
      <c r="Q2150" s="47" t="str">
        <f>IF(AND(B2150='111'!$L$11,OR($N2150=$Q$7,$O2150=$Q$7)),"x","")</f>
        <v/>
      </c>
      <c r="R2150" s="47" t="str">
        <f>IF(AND($N2150=$Q$7,$B2150&lt;'111'!$L$11),"x","")</f>
        <v/>
      </c>
      <c r="S2150" s="47" t="str">
        <f>IF(AND($O2150=$Q$7,$B2150&lt;'111'!$L$11),"x","")</f>
        <v/>
      </c>
    </row>
    <row r="2151" spans="1:19" ht="15.75" customHeight="1">
      <c r="A2151" s="152" t="str">
        <f>IF(B2151&lt;&gt;"",IF(AND(B2151='IN-TC'!$S$4,OR(TH!N2151="1111",TH!O2151="1111")),TH!D2151,""),"")</f>
        <v/>
      </c>
      <c r="B2151" s="34">
        <f t="shared" ref="B2151:B2214" si="86">IF(C2151&lt;&gt;"",MONTH(C2151),"")</f>
        <v>1</v>
      </c>
      <c r="C2151" s="35">
        <f t="shared" ref="C2151:C2214" si="87">E2151</f>
        <v>0</v>
      </c>
      <c r="D2151" s="212"/>
      <c r="E2151" s="35"/>
      <c r="F2151" s="144"/>
      <c r="G2151" s="191"/>
      <c r="H2151" s="198"/>
      <c r="I2151" s="186"/>
      <c r="J2151" s="186"/>
      <c r="K2151" s="185"/>
      <c r="L2151" s="186"/>
      <c r="M2151" s="36">
        <f t="shared" si="85"/>
        <v>0</v>
      </c>
      <c r="N2151" s="37" t="s">
        <v>1443</v>
      </c>
      <c r="O2151" s="37" t="s">
        <v>8</v>
      </c>
      <c r="P2151" s="47" t="str">
        <f>IF(AND('331-CT'!$F$5=TH!H2151,OR(N2151="331",O2151="331")),"x","")</f>
        <v/>
      </c>
      <c r="Q2151" s="47" t="str">
        <f>IF(AND(B2151='111'!$L$11,OR($N2151=$Q$7,$O2151=$Q$7)),"x","")</f>
        <v/>
      </c>
      <c r="R2151" s="47" t="str">
        <f>IF(AND($N2151=$Q$7,$B2151&lt;'111'!$L$11),"x","")</f>
        <v/>
      </c>
      <c r="S2151" s="47" t="str">
        <f>IF(AND($O2151=$Q$7,$B2151&lt;'111'!$L$11),"x","")</f>
        <v/>
      </c>
    </row>
    <row r="2152" spans="1:19" ht="15.75" customHeight="1">
      <c r="A2152" s="152" t="str">
        <f>IF(B2152&lt;&gt;"",IF(AND(B2152='IN-TC'!$S$4,OR(TH!N2152="1111",TH!O2152="1111")),TH!D2152,""),"")</f>
        <v/>
      </c>
      <c r="B2152" s="34">
        <f t="shared" si="86"/>
        <v>1</v>
      </c>
      <c r="C2152" s="35">
        <f t="shared" si="87"/>
        <v>0</v>
      </c>
      <c r="D2152" s="212"/>
      <c r="E2152" s="35"/>
      <c r="F2152" s="144"/>
      <c r="G2152" s="191"/>
      <c r="H2152" s="198"/>
      <c r="I2152" s="186"/>
      <c r="J2152" s="186"/>
      <c r="K2152" s="185"/>
      <c r="L2152" s="186"/>
      <c r="M2152" s="36">
        <f t="shared" si="85"/>
        <v>0</v>
      </c>
      <c r="N2152" s="37" t="s">
        <v>1443</v>
      </c>
      <c r="O2152" s="37" t="s">
        <v>8</v>
      </c>
      <c r="P2152" s="47" t="str">
        <f>IF(AND('331-CT'!$F$5=TH!H2152,OR(N2152="331",O2152="331")),"x","")</f>
        <v/>
      </c>
      <c r="Q2152" s="47" t="str">
        <f>IF(AND(B2152='111'!$L$11,OR($N2152=$Q$7,$O2152=$Q$7)),"x","")</f>
        <v/>
      </c>
      <c r="R2152" s="47" t="str">
        <f>IF(AND($N2152=$Q$7,$B2152&lt;'111'!$L$11),"x","")</f>
        <v/>
      </c>
      <c r="S2152" s="47" t="str">
        <f>IF(AND($O2152=$Q$7,$B2152&lt;'111'!$L$11),"x","")</f>
        <v/>
      </c>
    </row>
    <row r="2153" spans="1:19" ht="15.75" customHeight="1">
      <c r="A2153" s="152" t="str">
        <f>IF(B2153&lt;&gt;"",IF(AND(B2153='IN-TC'!$S$4,OR(TH!N2153="1111",TH!O2153="1111")),TH!D2153,""),"")</f>
        <v/>
      </c>
      <c r="B2153" s="34">
        <f t="shared" si="86"/>
        <v>1</v>
      </c>
      <c r="C2153" s="35">
        <f t="shared" si="87"/>
        <v>0</v>
      </c>
      <c r="D2153" s="212"/>
      <c r="E2153" s="35"/>
      <c r="F2153" s="144"/>
      <c r="G2153" s="191"/>
      <c r="H2153" s="198"/>
      <c r="I2153" s="186"/>
      <c r="J2153" s="186"/>
      <c r="K2153" s="185"/>
      <c r="L2153" s="186"/>
      <c r="M2153" s="36">
        <f t="shared" si="85"/>
        <v>0</v>
      </c>
      <c r="N2153" s="37" t="s">
        <v>1443</v>
      </c>
      <c r="O2153" s="37" t="s">
        <v>8</v>
      </c>
      <c r="P2153" s="47" t="str">
        <f>IF(AND('331-CT'!$F$5=TH!H2153,OR(N2153="331",O2153="331")),"x","")</f>
        <v/>
      </c>
      <c r="Q2153" s="47" t="str">
        <f>IF(AND(B2153='111'!$L$11,OR($N2153=$Q$7,$O2153=$Q$7)),"x","")</f>
        <v/>
      </c>
      <c r="R2153" s="47" t="str">
        <f>IF(AND($N2153=$Q$7,$B2153&lt;'111'!$L$11),"x","")</f>
        <v/>
      </c>
      <c r="S2153" s="47" t="str">
        <f>IF(AND($O2153=$Q$7,$B2153&lt;'111'!$L$11),"x","")</f>
        <v/>
      </c>
    </row>
    <row r="2154" spans="1:19" ht="15.75" customHeight="1">
      <c r="A2154" s="152" t="str">
        <f>IF(B2154&lt;&gt;"",IF(AND(B2154='IN-TC'!$S$4,OR(TH!N2154="1111",TH!O2154="1111")),TH!D2154,""),"")</f>
        <v/>
      </c>
      <c r="B2154" s="34">
        <f t="shared" si="86"/>
        <v>1</v>
      </c>
      <c r="C2154" s="35">
        <f t="shared" si="87"/>
        <v>0</v>
      </c>
      <c r="D2154" s="212"/>
      <c r="E2154" s="35"/>
      <c r="F2154" s="144"/>
      <c r="G2154" s="191"/>
      <c r="H2154" s="198"/>
      <c r="I2154" s="186"/>
      <c r="J2154" s="186"/>
      <c r="K2154" s="185"/>
      <c r="L2154" s="186"/>
      <c r="M2154" s="36">
        <f t="shared" si="85"/>
        <v>0</v>
      </c>
      <c r="N2154" s="37" t="s">
        <v>1443</v>
      </c>
      <c r="O2154" s="37" t="s">
        <v>8</v>
      </c>
      <c r="P2154" s="47" t="str">
        <f>IF(AND('331-CT'!$F$5=TH!H2154,OR(N2154="331",O2154="331")),"x","")</f>
        <v/>
      </c>
      <c r="Q2154" s="47" t="str">
        <f>IF(AND(B2154='111'!$L$11,OR($N2154=$Q$7,$O2154=$Q$7)),"x","")</f>
        <v/>
      </c>
      <c r="R2154" s="47" t="str">
        <f>IF(AND($N2154=$Q$7,$B2154&lt;'111'!$L$11),"x","")</f>
        <v/>
      </c>
      <c r="S2154" s="47" t="str">
        <f>IF(AND($O2154=$Q$7,$B2154&lt;'111'!$L$11),"x","")</f>
        <v/>
      </c>
    </row>
    <row r="2155" spans="1:19" ht="15.75" customHeight="1">
      <c r="A2155" s="152" t="str">
        <f>IF(B2155&lt;&gt;"",IF(AND(B2155='IN-TC'!$S$4,OR(TH!N2155="1111",TH!O2155="1111")),TH!D2155,""),"")</f>
        <v/>
      </c>
      <c r="B2155" s="34">
        <f t="shared" si="86"/>
        <v>1</v>
      </c>
      <c r="C2155" s="35">
        <f t="shared" si="87"/>
        <v>0</v>
      </c>
      <c r="D2155" s="212"/>
      <c r="E2155" s="35"/>
      <c r="F2155" s="144"/>
      <c r="G2155" s="191"/>
      <c r="H2155" s="198"/>
      <c r="I2155" s="186"/>
      <c r="J2155" s="186"/>
      <c r="K2155" s="185"/>
      <c r="L2155" s="186"/>
      <c r="M2155" s="36">
        <f t="shared" si="85"/>
        <v>0</v>
      </c>
      <c r="N2155" s="37" t="s">
        <v>1443</v>
      </c>
      <c r="O2155" s="37" t="s">
        <v>8</v>
      </c>
      <c r="P2155" s="47" t="str">
        <f>IF(AND('331-CT'!$F$5=TH!H2155,OR(N2155="331",O2155="331")),"x","")</f>
        <v/>
      </c>
      <c r="Q2155" s="47" t="str">
        <f>IF(AND(B2155='111'!$L$11,OR($N2155=$Q$7,$O2155=$Q$7)),"x","")</f>
        <v/>
      </c>
      <c r="R2155" s="47" t="str">
        <f>IF(AND($N2155=$Q$7,$B2155&lt;'111'!$L$11),"x","")</f>
        <v/>
      </c>
      <c r="S2155" s="47" t="str">
        <f>IF(AND($O2155=$Q$7,$B2155&lt;'111'!$L$11),"x","")</f>
        <v/>
      </c>
    </row>
    <row r="2156" spans="1:19" ht="15.75" customHeight="1">
      <c r="A2156" s="152" t="str">
        <f>IF(B2156&lt;&gt;"",IF(AND(B2156='IN-TC'!$S$4,OR(TH!N2156="1111",TH!O2156="1111")),TH!D2156,""),"")</f>
        <v/>
      </c>
      <c r="B2156" s="34">
        <f t="shared" si="86"/>
        <v>1</v>
      </c>
      <c r="C2156" s="35">
        <f t="shared" si="87"/>
        <v>0</v>
      </c>
      <c r="D2156" s="212"/>
      <c r="E2156" s="35"/>
      <c r="F2156" s="144"/>
      <c r="G2156" s="191"/>
      <c r="H2156" s="198"/>
      <c r="I2156" s="186"/>
      <c r="J2156" s="186"/>
      <c r="K2156" s="185"/>
      <c r="L2156" s="186"/>
      <c r="M2156" s="36">
        <f t="shared" si="85"/>
        <v>0</v>
      </c>
      <c r="N2156" s="37" t="s">
        <v>1443</v>
      </c>
      <c r="O2156" s="37" t="s">
        <v>8</v>
      </c>
      <c r="P2156" s="47" t="str">
        <f>IF(AND('331-CT'!$F$5=TH!H2156,OR(N2156="331",O2156="331")),"x","")</f>
        <v/>
      </c>
      <c r="Q2156" s="47" t="str">
        <f>IF(AND(B2156='111'!$L$11,OR($N2156=$Q$7,$O2156=$Q$7)),"x","")</f>
        <v/>
      </c>
      <c r="R2156" s="47" t="str">
        <f>IF(AND($N2156=$Q$7,$B2156&lt;'111'!$L$11),"x","")</f>
        <v/>
      </c>
      <c r="S2156" s="47" t="str">
        <f>IF(AND($O2156=$Q$7,$B2156&lt;'111'!$L$11),"x","")</f>
        <v/>
      </c>
    </row>
    <row r="2157" spans="1:19" ht="15.75" customHeight="1">
      <c r="A2157" s="152" t="str">
        <f>IF(B2157&lt;&gt;"",IF(AND(B2157='IN-TC'!$S$4,OR(TH!N2157="1111",TH!O2157="1111")),TH!D2157,""),"")</f>
        <v/>
      </c>
      <c r="B2157" s="34">
        <f t="shared" si="86"/>
        <v>1</v>
      </c>
      <c r="C2157" s="35">
        <f t="shared" si="87"/>
        <v>0</v>
      </c>
      <c r="D2157" s="212"/>
      <c r="E2157" s="35"/>
      <c r="F2157" s="144"/>
      <c r="G2157" s="191"/>
      <c r="H2157" s="198"/>
      <c r="I2157" s="186"/>
      <c r="J2157" s="186"/>
      <c r="K2157" s="185"/>
      <c r="L2157" s="186"/>
      <c r="M2157" s="36">
        <f t="shared" si="85"/>
        <v>0</v>
      </c>
      <c r="N2157" s="37" t="s">
        <v>1443</v>
      </c>
      <c r="O2157" s="37" t="s">
        <v>8</v>
      </c>
      <c r="P2157" s="47" t="str">
        <f>IF(AND('331-CT'!$F$5=TH!H2157,OR(N2157="331",O2157="331")),"x","")</f>
        <v/>
      </c>
      <c r="Q2157" s="47" t="str">
        <f>IF(AND(B2157='111'!$L$11,OR($N2157=$Q$7,$O2157=$Q$7)),"x","")</f>
        <v/>
      </c>
      <c r="R2157" s="47" t="str">
        <f>IF(AND($N2157=$Q$7,$B2157&lt;'111'!$L$11),"x","")</f>
        <v/>
      </c>
      <c r="S2157" s="47" t="str">
        <f>IF(AND($O2157=$Q$7,$B2157&lt;'111'!$L$11),"x","")</f>
        <v/>
      </c>
    </row>
    <row r="2158" spans="1:19" ht="15.75" customHeight="1">
      <c r="A2158" s="152" t="str">
        <f>IF(B2158&lt;&gt;"",IF(AND(B2158='IN-TC'!$S$4,OR(TH!N2158="1111",TH!O2158="1111")),TH!D2158,""),"")</f>
        <v/>
      </c>
      <c r="B2158" s="34">
        <f t="shared" si="86"/>
        <v>1</v>
      </c>
      <c r="C2158" s="35">
        <f t="shared" si="87"/>
        <v>0</v>
      </c>
      <c r="D2158" s="212"/>
      <c r="E2158" s="35"/>
      <c r="F2158" s="144"/>
      <c r="G2158" s="191"/>
      <c r="H2158" s="198"/>
      <c r="I2158" s="186"/>
      <c r="J2158" s="186"/>
      <c r="K2158" s="185"/>
      <c r="L2158" s="186"/>
      <c r="M2158" s="36">
        <f t="shared" si="85"/>
        <v>0</v>
      </c>
      <c r="N2158" s="37" t="s">
        <v>1443</v>
      </c>
      <c r="O2158" s="37" t="s">
        <v>8</v>
      </c>
      <c r="P2158" s="47" t="str">
        <f>IF(AND('331-CT'!$F$5=TH!H2158,OR(N2158="331",O2158="331")),"x","")</f>
        <v/>
      </c>
      <c r="Q2158" s="47" t="str">
        <f>IF(AND(B2158='111'!$L$11,OR($N2158=$Q$7,$O2158=$Q$7)),"x","")</f>
        <v/>
      </c>
      <c r="R2158" s="47" t="str">
        <f>IF(AND($N2158=$Q$7,$B2158&lt;'111'!$L$11),"x","")</f>
        <v/>
      </c>
      <c r="S2158" s="47" t="str">
        <f>IF(AND($O2158=$Q$7,$B2158&lt;'111'!$L$11),"x","")</f>
        <v/>
      </c>
    </row>
    <row r="2159" spans="1:19" ht="15.75" customHeight="1">
      <c r="A2159" s="152" t="str">
        <f>IF(B2159&lt;&gt;"",IF(AND(B2159='IN-TC'!$S$4,OR(TH!N2159="1111",TH!O2159="1111")),TH!D2159,""),"")</f>
        <v/>
      </c>
      <c r="B2159" s="34">
        <f t="shared" si="86"/>
        <v>1</v>
      </c>
      <c r="C2159" s="35">
        <f t="shared" si="87"/>
        <v>0</v>
      </c>
      <c r="D2159" s="212"/>
      <c r="E2159" s="35"/>
      <c r="F2159" s="144"/>
      <c r="G2159" s="191"/>
      <c r="H2159" s="198"/>
      <c r="I2159" s="186"/>
      <c r="J2159" s="186"/>
      <c r="K2159" s="185"/>
      <c r="L2159" s="186"/>
      <c r="M2159" s="36">
        <f t="shared" si="85"/>
        <v>0</v>
      </c>
      <c r="N2159" s="37" t="s">
        <v>1443</v>
      </c>
      <c r="O2159" s="37" t="s">
        <v>8</v>
      </c>
      <c r="P2159" s="47" t="str">
        <f>IF(AND('331-CT'!$F$5=TH!H2159,OR(N2159="331",O2159="331")),"x","")</f>
        <v/>
      </c>
      <c r="Q2159" s="47" t="str">
        <f>IF(AND(B2159='111'!$L$11,OR($N2159=$Q$7,$O2159=$Q$7)),"x","")</f>
        <v/>
      </c>
      <c r="R2159" s="47" t="str">
        <f>IF(AND($N2159=$Q$7,$B2159&lt;'111'!$L$11),"x","")</f>
        <v/>
      </c>
      <c r="S2159" s="47" t="str">
        <f>IF(AND($O2159=$Q$7,$B2159&lt;'111'!$L$11),"x","")</f>
        <v/>
      </c>
    </row>
    <row r="2160" spans="1:19" ht="15.75" customHeight="1">
      <c r="A2160" s="152" t="str">
        <f>IF(B2160&lt;&gt;"",IF(AND(B2160='IN-TC'!$S$4,OR(TH!N2160="1111",TH!O2160="1111")),TH!D2160,""),"")</f>
        <v/>
      </c>
      <c r="B2160" s="34">
        <f t="shared" si="86"/>
        <v>1</v>
      </c>
      <c r="C2160" s="35">
        <f t="shared" si="87"/>
        <v>0</v>
      </c>
      <c r="D2160" s="212"/>
      <c r="E2160" s="35"/>
      <c r="F2160" s="144"/>
      <c r="G2160" s="191"/>
      <c r="H2160" s="198"/>
      <c r="I2160" s="186"/>
      <c r="J2160" s="186"/>
      <c r="K2160" s="185"/>
      <c r="L2160" s="186"/>
      <c r="M2160" s="36">
        <f t="shared" si="85"/>
        <v>0</v>
      </c>
      <c r="N2160" s="37" t="s">
        <v>1443</v>
      </c>
      <c r="O2160" s="37" t="s">
        <v>8</v>
      </c>
      <c r="P2160" s="47" t="str">
        <f>IF(AND('331-CT'!$F$5=TH!H2160,OR(N2160="331",O2160="331")),"x","")</f>
        <v/>
      </c>
      <c r="Q2160" s="47" t="str">
        <f>IF(AND(B2160='111'!$L$11,OR($N2160=$Q$7,$O2160=$Q$7)),"x","")</f>
        <v/>
      </c>
      <c r="R2160" s="47" t="str">
        <f>IF(AND($N2160=$Q$7,$B2160&lt;'111'!$L$11),"x","")</f>
        <v/>
      </c>
      <c r="S2160" s="47" t="str">
        <f>IF(AND($O2160=$Q$7,$B2160&lt;'111'!$L$11),"x","")</f>
        <v/>
      </c>
    </row>
    <row r="2161" spans="1:19" ht="15.75" customHeight="1">
      <c r="A2161" s="152" t="str">
        <f>IF(B2161&lt;&gt;"",IF(AND(B2161='IN-TC'!$S$4,OR(TH!N2161="1111",TH!O2161="1111")),TH!D2161,""),"")</f>
        <v/>
      </c>
      <c r="B2161" s="34">
        <f t="shared" si="86"/>
        <v>1</v>
      </c>
      <c r="C2161" s="35">
        <f t="shared" si="87"/>
        <v>0</v>
      </c>
      <c r="D2161" s="212"/>
      <c r="E2161" s="35"/>
      <c r="F2161" s="144"/>
      <c r="G2161" s="191"/>
      <c r="H2161" s="198"/>
      <c r="I2161" s="186"/>
      <c r="J2161" s="186"/>
      <c r="K2161" s="185"/>
      <c r="L2161" s="186"/>
      <c r="M2161" s="36">
        <f t="shared" si="85"/>
        <v>0</v>
      </c>
      <c r="N2161" s="37" t="s">
        <v>1443</v>
      </c>
      <c r="O2161" s="37" t="s">
        <v>8</v>
      </c>
      <c r="P2161" s="47" t="str">
        <f>IF(AND('331-CT'!$F$5=TH!H2161,OR(N2161="331",O2161="331")),"x","")</f>
        <v/>
      </c>
      <c r="Q2161" s="47" t="str">
        <f>IF(AND(B2161='111'!$L$11,OR($N2161=$Q$7,$O2161=$Q$7)),"x","")</f>
        <v/>
      </c>
      <c r="R2161" s="47" t="str">
        <f>IF(AND($N2161=$Q$7,$B2161&lt;'111'!$L$11),"x","")</f>
        <v/>
      </c>
      <c r="S2161" s="47" t="str">
        <f>IF(AND($O2161=$Q$7,$B2161&lt;'111'!$L$11),"x","")</f>
        <v/>
      </c>
    </row>
    <row r="2162" spans="1:19" ht="15.75" customHeight="1">
      <c r="A2162" s="152" t="str">
        <f>IF(B2162&lt;&gt;"",IF(AND(B2162='IN-TC'!$S$4,OR(TH!N2162="1111",TH!O2162="1111")),TH!D2162,""),"")</f>
        <v/>
      </c>
      <c r="B2162" s="34">
        <f t="shared" si="86"/>
        <v>1</v>
      </c>
      <c r="C2162" s="35">
        <f t="shared" si="87"/>
        <v>0</v>
      </c>
      <c r="D2162" s="212"/>
      <c r="E2162" s="35"/>
      <c r="F2162" s="144"/>
      <c r="G2162" s="191"/>
      <c r="H2162" s="198"/>
      <c r="I2162" s="186"/>
      <c r="J2162" s="186"/>
      <c r="K2162" s="185"/>
      <c r="L2162" s="186"/>
      <c r="M2162" s="36">
        <f t="shared" si="85"/>
        <v>0</v>
      </c>
      <c r="N2162" s="37" t="s">
        <v>1443</v>
      </c>
      <c r="O2162" s="37" t="s">
        <v>8</v>
      </c>
      <c r="P2162" s="47" t="str">
        <f>IF(AND('331-CT'!$F$5=TH!H2162,OR(N2162="331",O2162="331")),"x","")</f>
        <v/>
      </c>
      <c r="Q2162" s="47" t="str">
        <f>IF(AND(B2162='111'!$L$11,OR($N2162=$Q$7,$O2162=$Q$7)),"x","")</f>
        <v/>
      </c>
      <c r="R2162" s="47" t="str">
        <f>IF(AND($N2162=$Q$7,$B2162&lt;'111'!$L$11),"x","")</f>
        <v/>
      </c>
      <c r="S2162" s="47" t="str">
        <f>IF(AND($O2162=$Q$7,$B2162&lt;'111'!$L$11),"x","")</f>
        <v/>
      </c>
    </row>
    <row r="2163" spans="1:19" ht="15.75" customHeight="1">
      <c r="A2163" s="152" t="str">
        <f>IF(B2163&lt;&gt;"",IF(AND(B2163='IN-TC'!$S$4,OR(TH!N2163="1111",TH!O2163="1111")),TH!D2163,""),"")</f>
        <v/>
      </c>
      <c r="B2163" s="34">
        <f t="shared" si="86"/>
        <v>1</v>
      </c>
      <c r="C2163" s="35">
        <f t="shared" si="87"/>
        <v>0</v>
      </c>
      <c r="D2163" s="212"/>
      <c r="E2163" s="35"/>
      <c r="F2163" s="144"/>
      <c r="G2163" s="191"/>
      <c r="H2163" s="198"/>
      <c r="I2163" s="186"/>
      <c r="J2163" s="186"/>
      <c r="K2163" s="185"/>
      <c r="L2163" s="186"/>
      <c r="M2163" s="36">
        <f t="shared" si="85"/>
        <v>0</v>
      </c>
      <c r="N2163" s="37" t="s">
        <v>1443</v>
      </c>
      <c r="O2163" s="37" t="s">
        <v>8</v>
      </c>
      <c r="P2163" s="47" t="str">
        <f>IF(AND('331-CT'!$F$5=TH!H2163,OR(N2163="331",O2163="331")),"x","")</f>
        <v/>
      </c>
      <c r="Q2163" s="47" t="str">
        <f>IF(AND(B2163='111'!$L$11,OR($N2163=$Q$7,$O2163=$Q$7)),"x","")</f>
        <v/>
      </c>
      <c r="R2163" s="47" t="str">
        <f>IF(AND($N2163=$Q$7,$B2163&lt;'111'!$L$11),"x","")</f>
        <v/>
      </c>
      <c r="S2163" s="47" t="str">
        <f>IF(AND($O2163=$Q$7,$B2163&lt;'111'!$L$11),"x","")</f>
        <v/>
      </c>
    </row>
    <row r="2164" spans="1:19" ht="15.75" customHeight="1">
      <c r="A2164" s="152" t="str">
        <f>IF(B2164&lt;&gt;"",IF(AND(B2164='IN-TC'!$S$4,OR(TH!N2164="1111",TH!O2164="1111")),TH!D2164,""),"")</f>
        <v/>
      </c>
      <c r="B2164" s="34">
        <f t="shared" si="86"/>
        <v>1</v>
      </c>
      <c r="C2164" s="35">
        <f t="shared" si="87"/>
        <v>0</v>
      </c>
      <c r="D2164" s="212"/>
      <c r="E2164" s="35"/>
      <c r="F2164" s="144"/>
      <c r="G2164" s="191"/>
      <c r="H2164" s="198"/>
      <c r="I2164" s="186"/>
      <c r="J2164" s="186"/>
      <c r="K2164" s="185"/>
      <c r="L2164" s="186"/>
      <c r="M2164" s="36">
        <f t="shared" si="85"/>
        <v>0</v>
      </c>
      <c r="N2164" s="37" t="s">
        <v>1443</v>
      </c>
      <c r="O2164" s="37" t="s">
        <v>8</v>
      </c>
      <c r="P2164" s="47" t="str">
        <f>IF(AND('331-CT'!$F$5=TH!H2164,OR(N2164="331",O2164="331")),"x","")</f>
        <v/>
      </c>
      <c r="Q2164" s="47" t="str">
        <f>IF(AND(B2164='111'!$L$11,OR($N2164=$Q$7,$O2164=$Q$7)),"x","")</f>
        <v/>
      </c>
      <c r="R2164" s="47" t="str">
        <f>IF(AND($N2164=$Q$7,$B2164&lt;'111'!$L$11),"x","")</f>
        <v/>
      </c>
      <c r="S2164" s="47" t="str">
        <f>IF(AND($O2164=$Q$7,$B2164&lt;'111'!$L$11),"x","")</f>
        <v/>
      </c>
    </row>
    <row r="2165" spans="1:19" ht="15.75" customHeight="1">
      <c r="A2165" s="152" t="str">
        <f>IF(B2165&lt;&gt;"",IF(AND(B2165='IN-TC'!$S$4,OR(TH!N2165="1111",TH!O2165="1111")),TH!D2165,""),"")</f>
        <v/>
      </c>
      <c r="B2165" s="34">
        <f t="shared" si="86"/>
        <v>1</v>
      </c>
      <c r="C2165" s="35">
        <f t="shared" si="87"/>
        <v>0</v>
      </c>
      <c r="D2165" s="212"/>
      <c r="E2165" s="35"/>
      <c r="F2165" s="144"/>
      <c r="G2165" s="191"/>
      <c r="H2165" s="198"/>
      <c r="I2165" s="186"/>
      <c r="J2165" s="186"/>
      <c r="K2165" s="185"/>
      <c r="L2165" s="186"/>
      <c r="M2165" s="36">
        <f t="shared" si="85"/>
        <v>0</v>
      </c>
      <c r="N2165" s="37" t="s">
        <v>1443</v>
      </c>
      <c r="O2165" s="37" t="s">
        <v>8</v>
      </c>
      <c r="P2165" s="47" t="str">
        <f>IF(AND('331-CT'!$F$5=TH!H2165,OR(N2165="331",O2165="331")),"x","")</f>
        <v/>
      </c>
      <c r="Q2165" s="47" t="str">
        <f>IF(AND(B2165='111'!$L$11,OR($N2165=$Q$7,$O2165=$Q$7)),"x","")</f>
        <v/>
      </c>
      <c r="R2165" s="47" t="str">
        <f>IF(AND($N2165=$Q$7,$B2165&lt;'111'!$L$11),"x","")</f>
        <v/>
      </c>
      <c r="S2165" s="47" t="str">
        <f>IF(AND($O2165=$Q$7,$B2165&lt;'111'!$L$11),"x","")</f>
        <v/>
      </c>
    </row>
    <row r="2166" spans="1:19" ht="15.75" customHeight="1">
      <c r="A2166" s="152" t="str">
        <f>IF(B2166&lt;&gt;"",IF(AND(B2166='IN-TC'!$S$4,OR(TH!N2166="1111",TH!O2166="1111")),TH!D2166,""),"")</f>
        <v/>
      </c>
      <c r="B2166" s="34">
        <f t="shared" si="86"/>
        <v>1</v>
      </c>
      <c r="C2166" s="35">
        <f t="shared" si="87"/>
        <v>0</v>
      </c>
      <c r="D2166" s="212"/>
      <c r="E2166" s="35"/>
      <c r="F2166" s="144"/>
      <c r="G2166" s="191"/>
      <c r="H2166" s="198"/>
      <c r="I2166" s="186"/>
      <c r="J2166" s="186"/>
      <c r="K2166" s="185"/>
      <c r="L2166" s="186"/>
      <c r="M2166" s="36">
        <f t="shared" si="85"/>
        <v>0</v>
      </c>
      <c r="N2166" s="37" t="s">
        <v>1443</v>
      </c>
      <c r="O2166" s="37" t="s">
        <v>8</v>
      </c>
      <c r="P2166" s="47" t="str">
        <f>IF(AND('331-CT'!$F$5=TH!H2166,OR(N2166="331",O2166="331")),"x","")</f>
        <v/>
      </c>
      <c r="Q2166" s="47" t="str">
        <f>IF(AND(B2166='111'!$L$11,OR($N2166=$Q$7,$O2166=$Q$7)),"x","")</f>
        <v/>
      </c>
      <c r="R2166" s="47" t="str">
        <f>IF(AND($N2166=$Q$7,$B2166&lt;'111'!$L$11),"x","")</f>
        <v/>
      </c>
      <c r="S2166" s="47" t="str">
        <f>IF(AND($O2166=$Q$7,$B2166&lt;'111'!$L$11),"x","")</f>
        <v/>
      </c>
    </row>
    <row r="2167" spans="1:19" ht="15.75" customHeight="1">
      <c r="A2167" s="152" t="str">
        <f>IF(B2167&lt;&gt;"",IF(AND(B2167='IN-TC'!$S$4,OR(TH!N2167="1111",TH!O2167="1111")),TH!D2167,""),"")</f>
        <v/>
      </c>
      <c r="B2167" s="34">
        <f t="shared" si="86"/>
        <v>1</v>
      </c>
      <c r="C2167" s="35">
        <f t="shared" si="87"/>
        <v>0</v>
      </c>
      <c r="D2167" s="212"/>
      <c r="E2167" s="35"/>
      <c r="F2167" s="144"/>
      <c r="G2167" s="191"/>
      <c r="H2167" s="198"/>
      <c r="I2167" s="186"/>
      <c r="J2167" s="186"/>
      <c r="K2167" s="185"/>
      <c r="L2167" s="186"/>
      <c r="M2167" s="36">
        <f t="shared" si="85"/>
        <v>0</v>
      </c>
      <c r="N2167" s="37" t="s">
        <v>1443</v>
      </c>
      <c r="O2167" s="37" t="s">
        <v>8</v>
      </c>
      <c r="P2167" s="47" t="str">
        <f>IF(AND('331-CT'!$F$5=TH!H2167,OR(N2167="331",O2167="331")),"x","")</f>
        <v/>
      </c>
      <c r="Q2167" s="47" t="str">
        <f>IF(AND(B2167='111'!$L$11,OR($N2167=$Q$7,$O2167=$Q$7)),"x","")</f>
        <v/>
      </c>
      <c r="R2167" s="47" t="str">
        <f>IF(AND($N2167=$Q$7,$B2167&lt;'111'!$L$11),"x","")</f>
        <v/>
      </c>
      <c r="S2167" s="47" t="str">
        <f>IF(AND($O2167=$Q$7,$B2167&lt;'111'!$L$11),"x","")</f>
        <v/>
      </c>
    </row>
    <row r="2168" spans="1:19" ht="15.75" customHeight="1">
      <c r="A2168" s="152" t="str">
        <f>IF(B2168&lt;&gt;"",IF(AND(B2168='IN-TC'!$S$4,OR(TH!N2168="1111",TH!O2168="1111")),TH!D2168,""),"")</f>
        <v/>
      </c>
      <c r="B2168" s="34">
        <f t="shared" si="86"/>
        <v>1</v>
      </c>
      <c r="C2168" s="35">
        <f t="shared" si="87"/>
        <v>0</v>
      </c>
      <c r="D2168" s="212"/>
      <c r="E2168" s="35"/>
      <c r="F2168" s="144"/>
      <c r="G2168" s="191"/>
      <c r="H2168" s="198"/>
      <c r="I2168" s="186"/>
      <c r="J2168" s="186"/>
      <c r="K2168" s="185"/>
      <c r="L2168" s="186"/>
      <c r="M2168" s="36">
        <f t="shared" si="85"/>
        <v>0</v>
      </c>
      <c r="N2168" s="37" t="s">
        <v>1443</v>
      </c>
      <c r="O2168" s="37" t="s">
        <v>8</v>
      </c>
      <c r="P2168" s="47" t="str">
        <f>IF(AND('331-CT'!$F$5=TH!H2168,OR(N2168="331",O2168="331")),"x","")</f>
        <v/>
      </c>
      <c r="Q2168" s="47" t="str">
        <f>IF(AND(B2168='111'!$L$11,OR($N2168=$Q$7,$O2168=$Q$7)),"x","")</f>
        <v/>
      </c>
      <c r="R2168" s="47" t="str">
        <f>IF(AND($N2168=$Q$7,$B2168&lt;'111'!$L$11),"x","")</f>
        <v/>
      </c>
      <c r="S2168" s="47" t="str">
        <f>IF(AND($O2168=$Q$7,$B2168&lt;'111'!$L$11),"x","")</f>
        <v/>
      </c>
    </row>
    <row r="2169" spans="1:19" ht="15.75" customHeight="1">
      <c r="A2169" s="152" t="str">
        <f>IF(B2169&lt;&gt;"",IF(AND(B2169='IN-TC'!$S$4,OR(TH!N2169="1111",TH!O2169="1111")),TH!D2169,""),"")</f>
        <v/>
      </c>
      <c r="B2169" s="34">
        <f t="shared" si="86"/>
        <v>1</v>
      </c>
      <c r="C2169" s="35">
        <f t="shared" si="87"/>
        <v>0</v>
      </c>
      <c r="D2169" s="212"/>
      <c r="E2169" s="35"/>
      <c r="F2169" s="144"/>
      <c r="G2169" s="191"/>
      <c r="H2169" s="198"/>
      <c r="I2169" s="186"/>
      <c r="J2169" s="186"/>
      <c r="K2169" s="185"/>
      <c r="L2169" s="186"/>
      <c r="M2169" s="36">
        <f t="shared" si="85"/>
        <v>0</v>
      </c>
      <c r="N2169" s="37" t="s">
        <v>1443</v>
      </c>
      <c r="O2169" s="37" t="s">
        <v>8</v>
      </c>
      <c r="P2169" s="47" t="str">
        <f>IF(AND('331-CT'!$F$5=TH!H2169,OR(N2169="331",O2169="331")),"x","")</f>
        <v/>
      </c>
      <c r="Q2169" s="47" t="str">
        <f>IF(AND(B2169='111'!$L$11,OR($N2169=$Q$7,$O2169=$Q$7)),"x","")</f>
        <v/>
      </c>
      <c r="R2169" s="47" t="str">
        <f>IF(AND($N2169=$Q$7,$B2169&lt;'111'!$L$11),"x","")</f>
        <v/>
      </c>
      <c r="S2169" s="47" t="str">
        <f>IF(AND($O2169=$Q$7,$B2169&lt;'111'!$L$11),"x","")</f>
        <v/>
      </c>
    </row>
    <row r="2170" spans="1:19" ht="15.75" customHeight="1">
      <c r="A2170" s="152" t="str">
        <f>IF(B2170&lt;&gt;"",IF(AND(B2170='IN-TC'!$S$4,OR(TH!N2170="1111",TH!O2170="1111")),TH!D2170,""),"")</f>
        <v/>
      </c>
      <c r="B2170" s="34">
        <f t="shared" si="86"/>
        <v>1</v>
      </c>
      <c r="C2170" s="35">
        <f t="shared" si="87"/>
        <v>0</v>
      </c>
      <c r="D2170" s="212"/>
      <c r="E2170" s="35"/>
      <c r="F2170" s="144"/>
      <c r="G2170" s="191"/>
      <c r="H2170" s="198"/>
      <c r="I2170" s="186"/>
      <c r="J2170" s="186"/>
      <c r="K2170" s="185"/>
      <c r="L2170" s="186"/>
      <c r="M2170" s="36">
        <f t="shared" si="85"/>
        <v>0</v>
      </c>
      <c r="N2170" s="37" t="s">
        <v>1443</v>
      </c>
      <c r="O2170" s="37" t="s">
        <v>8</v>
      </c>
      <c r="P2170" s="47" t="str">
        <f>IF(AND('331-CT'!$F$5=TH!H2170,OR(N2170="331",O2170="331")),"x","")</f>
        <v/>
      </c>
      <c r="Q2170" s="47" t="str">
        <f>IF(AND(B2170='111'!$L$11,OR($N2170=$Q$7,$O2170=$Q$7)),"x","")</f>
        <v/>
      </c>
      <c r="R2170" s="47" t="str">
        <f>IF(AND($N2170=$Q$7,$B2170&lt;'111'!$L$11),"x","")</f>
        <v/>
      </c>
      <c r="S2170" s="47" t="str">
        <f>IF(AND($O2170=$Q$7,$B2170&lt;'111'!$L$11),"x","")</f>
        <v/>
      </c>
    </row>
    <row r="2171" spans="1:19" ht="15.75" customHeight="1">
      <c r="A2171" s="152" t="str">
        <f>IF(B2171&lt;&gt;"",IF(AND(B2171='IN-TC'!$S$4,OR(TH!N2171="1111",TH!O2171="1111")),TH!D2171,""),"")</f>
        <v/>
      </c>
      <c r="B2171" s="34">
        <f t="shared" si="86"/>
        <v>1</v>
      </c>
      <c r="C2171" s="35">
        <f t="shared" si="87"/>
        <v>0</v>
      </c>
      <c r="D2171" s="212"/>
      <c r="E2171" s="35"/>
      <c r="F2171" s="144"/>
      <c r="G2171" s="191"/>
      <c r="H2171" s="198"/>
      <c r="I2171" s="186"/>
      <c r="J2171" s="186"/>
      <c r="K2171" s="185"/>
      <c r="L2171" s="186"/>
      <c r="M2171" s="36">
        <f t="shared" si="85"/>
        <v>0</v>
      </c>
      <c r="N2171" s="37" t="s">
        <v>1443</v>
      </c>
      <c r="O2171" s="37" t="s">
        <v>8</v>
      </c>
      <c r="P2171" s="47" t="str">
        <f>IF(AND('331-CT'!$F$5=TH!H2171,OR(N2171="331",O2171="331")),"x","")</f>
        <v/>
      </c>
      <c r="Q2171" s="47" t="str">
        <f>IF(AND(B2171='111'!$L$11,OR($N2171=$Q$7,$O2171=$Q$7)),"x","")</f>
        <v/>
      </c>
      <c r="R2171" s="47" t="str">
        <f>IF(AND($N2171=$Q$7,$B2171&lt;'111'!$L$11),"x","")</f>
        <v/>
      </c>
      <c r="S2171" s="47" t="str">
        <f>IF(AND($O2171=$Q$7,$B2171&lt;'111'!$L$11),"x","")</f>
        <v/>
      </c>
    </row>
    <row r="2172" spans="1:19" ht="15.75" customHeight="1">
      <c r="A2172" s="152" t="str">
        <f>IF(B2172&lt;&gt;"",IF(AND(B2172='IN-TC'!$S$4,OR(TH!N2172="1111",TH!O2172="1111")),TH!D2172,""),"")</f>
        <v/>
      </c>
      <c r="B2172" s="34">
        <f t="shared" si="86"/>
        <v>1</v>
      </c>
      <c r="C2172" s="35">
        <f t="shared" si="87"/>
        <v>0</v>
      </c>
      <c r="D2172" s="212"/>
      <c r="E2172" s="35"/>
      <c r="F2172" s="144"/>
      <c r="G2172" s="191"/>
      <c r="H2172" s="198"/>
      <c r="I2172" s="186"/>
      <c r="J2172" s="186"/>
      <c r="K2172" s="185"/>
      <c r="L2172" s="186"/>
      <c r="M2172" s="36">
        <f t="shared" si="85"/>
        <v>0</v>
      </c>
      <c r="N2172" s="37" t="s">
        <v>1443</v>
      </c>
      <c r="O2172" s="37" t="s">
        <v>8</v>
      </c>
      <c r="P2172" s="47" t="str">
        <f>IF(AND('331-CT'!$F$5=TH!H2172,OR(N2172="331",O2172="331")),"x","")</f>
        <v/>
      </c>
      <c r="Q2172" s="47" t="str">
        <f>IF(AND(B2172='111'!$L$11,OR($N2172=$Q$7,$O2172=$Q$7)),"x","")</f>
        <v/>
      </c>
      <c r="R2172" s="47" t="str">
        <f>IF(AND($N2172=$Q$7,$B2172&lt;'111'!$L$11),"x","")</f>
        <v/>
      </c>
      <c r="S2172" s="47" t="str">
        <f>IF(AND($O2172=$Q$7,$B2172&lt;'111'!$L$11),"x","")</f>
        <v/>
      </c>
    </row>
    <row r="2173" spans="1:19" ht="15.75" customHeight="1">
      <c r="A2173" s="152" t="str">
        <f>IF(B2173&lt;&gt;"",IF(AND(B2173='IN-TC'!$S$4,OR(TH!N2173="1111",TH!O2173="1111")),TH!D2173,""),"")</f>
        <v/>
      </c>
      <c r="B2173" s="34">
        <f t="shared" si="86"/>
        <v>1</v>
      </c>
      <c r="C2173" s="35">
        <f t="shared" si="87"/>
        <v>0</v>
      </c>
      <c r="D2173" s="212"/>
      <c r="E2173" s="35"/>
      <c r="F2173" s="144"/>
      <c r="G2173" s="191"/>
      <c r="H2173" s="198"/>
      <c r="I2173" s="186"/>
      <c r="J2173" s="186"/>
      <c r="K2173" s="185"/>
      <c r="L2173" s="186"/>
      <c r="M2173" s="36">
        <f t="shared" si="85"/>
        <v>0</v>
      </c>
      <c r="N2173" s="37" t="s">
        <v>1443</v>
      </c>
      <c r="O2173" s="37" t="s">
        <v>8</v>
      </c>
      <c r="P2173" s="47" t="str">
        <f>IF(AND('331-CT'!$F$5=TH!H2173,OR(N2173="331",O2173="331")),"x","")</f>
        <v/>
      </c>
      <c r="Q2173" s="47" t="str">
        <f>IF(AND(B2173='111'!$L$11,OR($N2173=$Q$7,$O2173=$Q$7)),"x","")</f>
        <v/>
      </c>
      <c r="R2173" s="47" t="str">
        <f>IF(AND($N2173=$Q$7,$B2173&lt;'111'!$L$11),"x","")</f>
        <v/>
      </c>
      <c r="S2173" s="47" t="str">
        <f>IF(AND($O2173=$Q$7,$B2173&lt;'111'!$L$11),"x","")</f>
        <v/>
      </c>
    </row>
    <row r="2174" spans="1:19" ht="15.75" customHeight="1">
      <c r="A2174" s="152" t="str">
        <f>IF(B2174&lt;&gt;"",IF(AND(B2174='IN-TC'!$S$4,OR(TH!N2174="1111",TH!O2174="1111")),TH!D2174,""),"")</f>
        <v/>
      </c>
      <c r="B2174" s="34">
        <f t="shared" si="86"/>
        <v>1</v>
      </c>
      <c r="C2174" s="35">
        <f t="shared" si="87"/>
        <v>0</v>
      </c>
      <c r="D2174" s="212"/>
      <c r="E2174" s="35"/>
      <c r="F2174" s="144"/>
      <c r="G2174" s="191"/>
      <c r="H2174" s="198"/>
      <c r="I2174" s="186"/>
      <c r="J2174" s="186"/>
      <c r="K2174" s="185"/>
      <c r="L2174" s="186"/>
      <c r="M2174" s="36">
        <f t="shared" si="85"/>
        <v>0</v>
      </c>
      <c r="N2174" s="37" t="s">
        <v>1443</v>
      </c>
      <c r="O2174" s="37" t="s">
        <v>8</v>
      </c>
      <c r="P2174" s="47" t="str">
        <f>IF(AND('331-CT'!$F$5=TH!H2174,OR(N2174="331",O2174="331")),"x","")</f>
        <v/>
      </c>
      <c r="Q2174" s="47" t="str">
        <f>IF(AND(B2174='111'!$L$11,OR($N2174=$Q$7,$O2174=$Q$7)),"x","")</f>
        <v/>
      </c>
      <c r="R2174" s="47" t="str">
        <f>IF(AND($N2174=$Q$7,$B2174&lt;'111'!$L$11),"x","")</f>
        <v/>
      </c>
      <c r="S2174" s="47" t="str">
        <f>IF(AND($O2174=$Q$7,$B2174&lt;'111'!$L$11),"x","")</f>
        <v/>
      </c>
    </row>
    <row r="2175" spans="1:19" ht="15.75" customHeight="1">
      <c r="A2175" s="152" t="str">
        <f>IF(B2175&lt;&gt;"",IF(AND(B2175='IN-TC'!$S$4,OR(TH!N2175="1111",TH!O2175="1111")),TH!D2175,""),"")</f>
        <v/>
      </c>
      <c r="B2175" s="34">
        <f t="shared" si="86"/>
        <v>1</v>
      </c>
      <c r="C2175" s="35">
        <f t="shared" si="87"/>
        <v>0</v>
      </c>
      <c r="D2175" s="212"/>
      <c r="E2175" s="35"/>
      <c r="F2175" s="144"/>
      <c r="G2175" s="191"/>
      <c r="H2175" s="198"/>
      <c r="I2175" s="186"/>
      <c r="J2175" s="186"/>
      <c r="K2175" s="185"/>
      <c r="L2175" s="186"/>
      <c r="M2175" s="36">
        <f t="shared" si="85"/>
        <v>0</v>
      </c>
      <c r="N2175" s="37" t="s">
        <v>1443</v>
      </c>
      <c r="O2175" s="37" t="s">
        <v>8</v>
      </c>
      <c r="P2175" s="47" t="str">
        <f>IF(AND('331-CT'!$F$5=TH!H2175,OR(N2175="331",O2175="331")),"x","")</f>
        <v/>
      </c>
      <c r="Q2175" s="47" t="str">
        <f>IF(AND(B2175='111'!$L$11,OR($N2175=$Q$7,$O2175=$Q$7)),"x","")</f>
        <v/>
      </c>
      <c r="R2175" s="47" t="str">
        <f>IF(AND($N2175=$Q$7,$B2175&lt;'111'!$L$11),"x","")</f>
        <v/>
      </c>
      <c r="S2175" s="47" t="str">
        <f>IF(AND($O2175=$Q$7,$B2175&lt;'111'!$L$11),"x","")</f>
        <v/>
      </c>
    </row>
    <row r="2176" spans="1:19" ht="15.75" customHeight="1">
      <c r="A2176" s="152" t="str">
        <f>IF(B2176&lt;&gt;"",IF(AND(B2176='IN-TC'!$S$4,OR(TH!N2176="1111",TH!O2176="1111")),TH!D2176,""),"")</f>
        <v/>
      </c>
      <c r="B2176" s="34">
        <f t="shared" si="86"/>
        <v>1</v>
      </c>
      <c r="C2176" s="35">
        <f t="shared" si="87"/>
        <v>0</v>
      </c>
      <c r="D2176" s="212"/>
      <c r="E2176" s="35"/>
      <c r="F2176" s="144"/>
      <c r="G2176" s="191"/>
      <c r="H2176" s="198"/>
      <c r="I2176" s="186"/>
      <c r="J2176" s="186"/>
      <c r="K2176" s="185"/>
      <c r="L2176" s="186"/>
      <c r="M2176" s="36">
        <f t="shared" si="85"/>
        <v>0</v>
      </c>
      <c r="N2176" s="37" t="s">
        <v>1443</v>
      </c>
      <c r="O2176" s="37" t="s">
        <v>8</v>
      </c>
      <c r="P2176" s="47" t="str">
        <f>IF(AND('331-CT'!$F$5=TH!H2176,OR(N2176="331",O2176="331")),"x","")</f>
        <v/>
      </c>
      <c r="Q2176" s="47" t="str">
        <f>IF(AND(B2176='111'!$L$11,OR($N2176=$Q$7,$O2176=$Q$7)),"x","")</f>
        <v/>
      </c>
      <c r="R2176" s="47" t="str">
        <f>IF(AND($N2176=$Q$7,$B2176&lt;'111'!$L$11),"x","")</f>
        <v/>
      </c>
      <c r="S2176" s="47" t="str">
        <f>IF(AND($O2176=$Q$7,$B2176&lt;'111'!$L$11),"x","")</f>
        <v/>
      </c>
    </row>
    <row r="2177" spans="1:19" ht="15.75" customHeight="1">
      <c r="A2177" s="152" t="str">
        <f>IF(B2177&lt;&gt;"",IF(AND(B2177='IN-TC'!$S$4,OR(TH!N2177="1111",TH!O2177="1111")),TH!D2177,""),"")</f>
        <v/>
      </c>
      <c r="B2177" s="34">
        <f t="shared" si="86"/>
        <v>1</v>
      </c>
      <c r="C2177" s="35">
        <f t="shared" si="87"/>
        <v>0</v>
      </c>
      <c r="D2177" s="212"/>
      <c r="E2177" s="35"/>
      <c r="F2177" s="144"/>
      <c r="G2177" s="191"/>
      <c r="H2177" s="198"/>
      <c r="I2177" s="186"/>
      <c r="J2177" s="186"/>
      <c r="K2177" s="185"/>
      <c r="L2177" s="186"/>
      <c r="M2177" s="36">
        <f t="shared" si="85"/>
        <v>0</v>
      </c>
      <c r="N2177" s="37" t="s">
        <v>1443</v>
      </c>
      <c r="O2177" s="37" t="s">
        <v>8</v>
      </c>
      <c r="P2177" s="47" t="str">
        <f>IF(AND('331-CT'!$F$5=TH!H2177,OR(N2177="331",O2177="331")),"x","")</f>
        <v/>
      </c>
      <c r="Q2177" s="47" t="str">
        <f>IF(AND(B2177='111'!$L$11,OR($N2177=$Q$7,$O2177=$Q$7)),"x","")</f>
        <v/>
      </c>
      <c r="R2177" s="47" t="str">
        <f>IF(AND($N2177=$Q$7,$B2177&lt;'111'!$L$11),"x","")</f>
        <v/>
      </c>
      <c r="S2177" s="47" t="str">
        <f>IF(AND($O2177=$Q$7,$B2177&lt;'111'!$L$11),"x","")</f>
        <v/>
      </c>
    </row>
    <row r="2178" spans="1:19" ht="15.75" customHeight="1">
      <c r="A2178" s="152" t="str">
        <f>IF(B2178&lt;&gt;"",IF(AND(B2178='IN-TC'!$S$4,OR(TH!N2178="1111",TH!O2178="1111")),TH!D2178,""),"")</f>
        <v/>
      </c>
      <c r="B2178" s="34">
        <f t="shared" si="86"/>
        <v>1</v>
      </c>
      <c r="C2178" s="35">
        <f t="shared" si="87"/>
        <v>0</v>
      </c>
      <c r="D2178" s="212"/>
      <c r="E2178" s="35"/>
      <c r="F2178" s="144"/>
      <c r="G2178" s="191"/>
      <c r="H2178" s="198"/>
      <c r="I2178" s="186"/>
      <c r="J2178" s="186"/>
      <c r="K2178" s="185"/>
      <c r="L2178" s="186"/>
      <c r="M2178" s="36">
        <f t="shared" si="85"/>
        <v>0</v>
      </c>
      <c r="N2178" s="37" t="s">
        <v>1443</v>
      </c>
      <c r="O2178" s="37" t="s">
        <v>8</v>
      </c>
      <c r="P2178" s="47" t="str">
        <f>IF(AND('331-CT'!$F$5=TH!H2178,OR(N2178="331",O2178="331")),"x","")</f>
        <v/>
      </c>
      <c r="Q2178" s="47" t="str">
        <f>IF(AND(B2178='111'!$L$11,OR($N2178=$Q$7,$O2178=$Q$7)),"x","")</f>
        <v/>
      </c>
      <c r="R2178" s="47" t="str">
        <f>IF(AND($N2178=$Q$7,$B2178&lt;'111'!$L$11),"x","")</f>
        <v/>
      </c>
      <c r="S2178" s="47" t="str">
        <f>IF(AND($O2178=$Q$7,$B2178&lt;'111'!$L$11),"x","")</f>
        <v/>
      </c>
    </row>
    <row r="2179" spans="1:19" ht="15.75" customHeight="1">
      <c r="A2179" s="152" t="str">
        <f>IF(B2179&lt;&gt;"",IF(AND(B2179='IN-TC'!$S$4,OR(TH!N2179="1111",TH!O2179="1111")),TH!D2179,""),"")</f>
        <v/>
      </c>
      <c r="B2179" s="34">
        <f t="shared" si="86"/>
        <v>1</v>
      </c>
      <c r="C2179" s="35">
        <f t="shared" si="87"/>
        <v>0</v>
      </c>
      <c r="D2179" s="212"/>
      <c r="E2179" s="35"/>
      <c r="F2179" s="144"/>
      <c r="G2179" s="191"/>
      <c r="H2179" s="198"/>
      <c r="I2179" s="186"/>
      <c r="J2179" s="186"/>
      <c r="K2179" s="185"/>
      <c r="L2179" s="186"/>
      <c r="M2179" s="36">
        <f t="shared" si="85"/>
        <v>0</v>
      </c>
      <c r="N2179" s="37" t="s">
        <v>1443</v>
      </c>
      <c r="O2179" s="37" t="s">
        <v>8</v>
      </c>
      <c r="P2179" s="47" t="str">
        <f>IF(AND('331-CT'!$F$5=TH!H2179,OR(N2179="331",O2179="331")),"x","")</f>
        <v/>
      </c>
      <c r="Q2179" s="47" t="str">
        <f>IF(AND(B2179='111'!$L$11,OR($N2179=$Q$7,$O2179=$Q$7)),"x","")</f>
        <v/>
      </c>
      <c r="R2179" s="47" t="str">
        <f>IF(AND($N2179=$Q$7,$B2179&lt;'111'!$L$11),"x","")</f>
        <v/>
      </c>
      <c r="S2179" s="47" t="str">
        <f>IF(AND($O2179=$Q$7,$B2179&lt;'111'!$L$11),"x","")</f>
        <v/>
      </c>
    </row>
    <row r="2180" spans="1:19" ht="15.75" customHeight="1">
      <c r="A2180" s="152" t="str">
        <f>IF(B2180&lt;&gt;"",IF(AND(B2180='IN-TC'!$S$4,OR(TH!N2180="1111",TH!O2180="1111")),TH!D2180,""),"")</f>
        <v/>
      </c>
      <c r="B2180" s="34">
        <f t="shared" si="86"/>
        <v>1</v>
      </c>
      <c r="C2180" s="35">
        <f t="shared" si="87"/>
        <v>0</v>
      </c>
      <c r="D2180" s="212"/>
      <c r="E2180" s="35"/>
      <c r="F2180" s="144"/>
      <c r="G2180" s="191"/>
      <c r="H2180" s="198"/>
      <c r="I2180" s="186"/>
      <c r="J2180" s="186"/>
      <c r="K2180" s="185"/>
      <c r="L2180" s="186"/>
      <c r="M2180" s="36">
        <f t="shared" si="85"/>
        <v>0</v>
      </c>
      <c r="N2180" s="37" t="s">
        <v>1443</v>
      </c>
      <c r="O2180" s="37" t="s">
        <v>8</v>
      </c>
      <c r="P2180" s="47" t="str">
        <f>IF(AND('331-CT'!$F$5=TH!H2180,OR(N2180="331",O2180="331")),"x","")</f>
        <v/>
      </c>
      <c r="Q2180" s="47" t="str">
        <f>IF(AND(B2180='111'!$L$11,OR($N2180=$Q$7,$O2180=$Q$7)),"x","")</f>
        <v/>
      </c>
      <c r="R2180" s="47" t="str">
        <f>IF(AND($N2180=$Q$7,$B2180&lt;'111'!$L$11),"x","")</f>
        <v/>
      </c>
      <c r="S2180" s="47" t="str">
        <f>IF(AND($O2180=$Q$7,$B2180&lt;'111'!$L$11),"x","")</f>
        <v/>
      </c>
    </row>
    <row r="2181" spans="1:19" ht="15.75" customHeight="1">
      <c r="A2181" s="152" t="str">
        <f>IF(B2181&lt;&gt;"",IF(AND(B2181='IN-TC'!$S$4,OR(TH!N2181="1111",TH!O2181="1111")),TH!D2181,""),"")</f>
        <v/>
      </c>
      <c r="B2181" s="34">
        <f t="shared" si="86"/>
        <v>1</v>
      </c>
      <c r="C2181" s="35">
        <f t="shared" si="87"/>
        <v>0</v>
      </c>
      <c r="D2181" s="212"/>
      <c r="E2181" s="35"/>
      <c r="F2181" s="144"/>
      <c r="G2181" s="191"/>
      <c r="H2181" s="198"/>
      <c r="I2181" s="186"/>
      <c r="J2181" s="186"/>
      <c r="K2181" s="185"/>
      <c r="L2181" s="186"/>
      <c r="M2181" s="36">
        <f t="shared" si="85"/>
        <v>0</v>
      </c>
      <c r="N2181" s="37" t="s">
        <v>1443</v>
      </c>
      <c r="O2181" s="37" t="s">
        <v>8</v>
      </c>
      <c r="P2181" s="47" t="str">
        <f>IF(AND('331-CT'!$F$5=TH!H2181,OR(N2181="331",O2181="331")),"x","")</f>
        <v/>
      </c>
      <c r="Q2181" s="47" t="str">
        <f>IF(AND(B2181='111'!$L$11,OR($N2181=$Q$7,$O2181=$Q$7)),"x","")</f>
        <v/>
      </c>
      <c r="R2181" s="47" t="str">
        <f>IF(AND($N2181=$Q$7,$B2181&lt;'111'!$L$11),"x","")</f>
        <v/>
      </c>
      <c r="S2181" s="47" t="str">
        <f>IF(AND($O2181=$Q$7,$B2181&lt;'111'!$L$11),"x","")</f>
        <v/>
      </c>
    </row>
    <row r="2182" spans="1:19" ht="15.75" customHeight="1">
      <c r="A2182" s="152" t="str">
        <f>IF(B2182&lt;&gt;"",IF(AND(B2182='IN-TC'!$S$4,OR(TH!N2182="1111",TH!O2182="1111")),TH!D2182,""),"")</f>
        <v/>
      </c>
      <c r="B2182" s="34">
        <f t="shared" si="86"/>
        <v>1</v>
      </c>
      <c r="C2182" s="35">
        <f t="shared" si="87"/>
        <v>0</v>
      </c>
      <c r="D2182" s="212"/>
      <c r="E2182" s="35"/>
      <c r="F2182" s="144"/>
      <c r="G2182" s="191"/>
      <c r="H2182" s="198"/>
      <c r="I2182" s="186"/>
      <c r="J2182" s="186"/>
      <c r="K2182" s="185"/>
      <c r="L2182" s="186"/>
      <c r="M2182" s="36">
        <f t="shared" si="85"/>
        <v>0</v>
      </c>
      <c r="N2182" s="37" t="s">
        <v>1443</v>
      </c>
      <c r="O2182" s="37" t="s">
        <v>8</v>
      </c>
      <c r="P2182" s="47" t="str">
        <f>IF(AND('331-CT'!$F$5=TH!H2182,OR(N2182="331",O2182="331")),"x","")</f>
        <v/>
      </c>
      <c r="Q2182" s="47" t="str">
        <f>IF(AND(B2182='111'!$L$11,OR($N2182=$Q$7,$O2182=$Q$7)),"x","")</f>
        <v/>
      </c>
      <c r="R2182" s="47" t="str">
        <f>IF(AND($N2182=$Q$7,$B2182&lt;'111'!$L$11),"x","")</f>
        <v/>
      </c>
      <c r="S2182" s="47" t="str">
        <f>IF(AND($O2182=$Q$7,$B2182&lt;'111'!$L$11),"x","")</f>
        <v/>
      </c>
    </row>
    <row r="2183" spans="1:19" ht="15.75" customHeight="1">
      <c r="A2183" s="152" t="str">
        <f>IF(B2183&lt;&gt;"",IF(AND(B2183='IN-TC'!$S$4,OR(TH!N2183="1111",TH!O2183="1111")),TH!D2183,""),"")</f>
        <v/>
      </c>
      <c r="B2183" s="34">
        <f t="shared" si="86"/>
        <v>1</v>
      </c>
      <c r="C2183" s="35">
        <f t="shared" si="87"/>
        <v>0</v>
      </c>
      <c r="D2183" s="212"/>
      <c r="E2183" s="35"/>
      <c r="F2183" s="144"/>
      <c r="G2183" s="191"/>
      <c r="H2183" s="198"/>
      <c r="I2183" s="186"/>
      <c r="J2183" s="186"/>
      <c r="K2183" s="185"/>
      <c r="L2183" s="186"/>
      <c r="M2183" s="36">
        <f t="shared" si="85"/>
        <v>0</v>
      </c>
      <c r="N2183" s="37" t="s">
        <v>1443</v>
      </c>
      <c r="O2183" s="37" t="s">
        <v>8</v>
      </c>
      <c r="P2183" s="47" t="str">
        <f>IF(AND('331-CT'!$F$5=TH!H2183,OR(N2183="331",O2183="331")),"x","")</f>
        <v/>
      </c>
      <c r="Q2183" s="47" t="str">
        <f>IF(AND(B2183='111'!$L$11,OR($N2183=$Q$7,$O2183=$Q$7)),"x","")</f>
        <v/>
      </c>
      <c r="R2183" s="47" t="str">
        <f>IF(AND($N2183=$Q$7,$B2183&lt;'111'!$L$11),"x","")</f>
        <v/>
      </c>
      <c r="S2183" s="47" t="str">
        <f>IF(AND($O2183=$Q$7,$B2183&lt;'111'!$L$11),"x","")</f>
        <v/>
      </c>
    </row>
    <row r="2184" spans="1:19" ht="15.75" customHeight="1">
      <c r="A2184" s="152" t="str">
        <f>IF(B2184&lt;&gt;"",IF(AND(B2184='IN-TC'!$S$4,OR(TH!N2184="1111",TH!O2184="1111")),TH!D2184,""),"")</f>
        <v/>
      </c>
      <c r="B2184" s="34">
        <f t="shared" si="86"/>
        <v>1</v>
      </c>
      <c r="C2184" s="35">
        <f t="shared" si="87"/>
        <v>0</v>
      </c>
      <c r="D2184" s="212"/>
      <c r="E2184" s="35"/>
      <c r="F2184" s="144"/>
      <c r="G2184" s="191"/>
      <c r="H2184" s="198"/>
      <c r="I2184" s="186"/>
      <c r="J2184" s="186"/>
      <c r="K2184" s="185"/>
      <c r="L2184" s="186"/>
      <c r="M2184" s="36">
        <f t="shared" si="85"/>
        <v>0</v>
      </c>
      <c r="N2184" s="37" t="s">
        <v>1443</v>
      </c>
      <c r="O2184" s="37" t="s">
        <v>8</v>
      </c>
      <c r="P2184" s="47" t="str">
        <f>IF(AND('331-CT'!$F$5=TH!H2184,OR(N2184="331",O2184="331")),"x","")</f>
        <v/>
      </c>
      <c r="Q2184" s="47" t="str">
        <f>IF(AND(B2184='111'!$L$11,OR($N2184=$Q$7,$O2184=$Q$7)),"x","")</f>
        <v/>
      </c>
      <c r="R2184" s="47" t="str">
        <f>IF(AND($N2184=$Q$7,$B2184&lt;'111'!$L$11),"x","")</f>
        <v/>
      </c>
      <c r="S2184" s="47" t="str">
        <f>IF(AND($O2184=$Q$7,$B2184&lt;'111'!$L$11),"x","")</f>
        <v/>
      </c>
    </row>
    <row r="2185" spans="1:19" ht="15.75" customHeight="1">
      <c r="A2185" s="152" t="str">
        <f>IF(B2185&lt;&gt;"",IF(AND(B2185='IN-TC'!$S$4,OR(TH!N2185="1111",TH!O2185="1111")),TH!D2185,""),"")</f>
        <v/>
      </c>
      <c r="B2185" s="34">
        <f t="shared" si="86"/>
        <v>1</v>
      </c>
      <c r="C2185" s="35">
        <f t="shared" si="87"/>
        <v>0</v>
      </c>
      <c r="D2185" s="212"/>
      <c r="E2185" s="35"/>
      <c r="F2185" s="144"/>
      <c r="G2185" s="191"/>
      <c r="H2185" s="198"/>
      <c r="I2185" s="186"/>
      <c r="J2185" s="186"/>
      <c r="K2185" s="185"/>
      <c r="L2185" s="186"/>
      <c r="M2185" s="36">
        <f t="shared" si="85"/>
        <v>0</v>
      </c>
      <c r="N2185" s="37" t="s">
        <v>1443</v>
      </c>
      <c r="O2185" s="37" t="s">
        <v>8</v>
      </c>
      <c r="P2185" s="47" t="str">
        <f>IF(AND('331-CT'!$F$5=TH!H2185,OR(N2185="331",O2185="331")),"x","")</f>
        <v/>
      </c>
      <c r="Q2185" s="47" t="str">
        <f>IF(AND(B2185='111'!$L$11,OR($N2185=$Q$7,$O2185=$Q$7)),"x","")</f>
        <v/>
      </c>
      <c r="R2185" s="47" t="str">
        <f>IF(AND($N2185=$Q$7,$B2185&lt;'111'!$L$11),"x","")</f>
        <v/>
      </c>
      <c r="S2185" s="47" t="str">
        <f>IF(AND($O2185=$Q$7,$B2185&lt;'111'!$L$11),"x","")</f>
        <v/>
      </c>
    </row>
    <row r="2186" spans="1:19" ht="15.75" customHeight="1">
      <c r="A2186" s="152" t="str">
        <f>IF(B2186&lt;&gt;"",IF(AND(B2186='IN-TC'!$S$4,OR(TH!N2186="1111",TH!O2186="1111")),TH!D2186,""),"")</f>
        <v/>
      </c>
      <c r="B2186" s="34">
        <f t="shared" si="86"/>
        <v>1</v>
      </c>
      <c r="C2186" s="35">
        <f t="shared" si="87"/>
        <v>0</v>
      </c>
      <c r="D2186" s="212"/>
      <c r="E2186" s="35"/>
      <c r="F2186" s="144"/>
      <c r="G2186" s="191"/>
      <c r="H2186" s="198"/>
      <c r="I2186" s="186"/>
      <c r="J2186" s="186"/>
      <c r="K2186" s="185"/>
      <c r="L2186" s="186"/>
      <c r="M2186" s="36">
        <f t="shared" si="85"/>
        <v>0</v>
      </c>
      <c r="N2186" s="37" t="s">
        <v>1443</v>
      </c>
      <c r="O2186" s="37" t="s">
        <v>8</v>
      </c>
      <c r="P2186" s="47" t="str">
        <f>IF(AND('331-CT'!$F$5=TH!H2186,OR(N2186="331",O2186="331")),"x","")</f>
        <v/>
      </c>
      <c r="Q2186" s="47" t="str">
        <f>IF(AND(B2186='111'!$L$11,OR($N2186=$Q$7,$O2186=$Q$7)),"x","")</f>
        <v/>
      </c>
      <c r="R2186" s="47" t="str">
        <f>IF(AND($N2186=$Q$7,$B2186&lt;'111'!$L$11),"x","")</f>
        <v/>
      </c>
      <c r="S2186" s="47" t="str">
        <f>IF(AND($O2186=$Q$7,$B2186&lt;'111'!$L$11),"x","")</f>
        <v/>
      </c>
    </row>
    <row r="2187" spans="1:19" ht="15.75" customHeight="1">
      <c r="A2187" s="152" t="str">
        <f>IF(B2187&lt;&gt;"",IF(AND(B2187='IN-TC'!$S$4,OR(TH!N2187="1111",TH!O2187="1111")),TH!D2187,""),"")</f>
        <v/>
      </c>
      <c r="B2187" s="34">
        <f t="shared" si="86"/>
        <v>1</v>
      </c>
      <c r="C2187" s="35">
        <f t="shared" si="87"/>
        <v>0</v>
      </c>
      <c r="D2187" s="212"/>
      <c r="E2187" s="35"/>
      <c r="F2187" s="144"/>
      <c r="G2187" s="191"/>
      <c r="H2187" s="198"/>
      <c r="I2187" s="186"/>
      <c r="J2187" s="186"/>
      <c r="K2187" s="185"/>
      <c r="L2187" s="186"/>
      <c r="M2187" s="36">
        <f t="shared" ref="M2187:M2250" si="88">ROUND(I2187*J2187,-3)</f>
        <v>0</v>
      </c>
      <c r="N2187" s="37" t="s">
        <v>1443</v>
      </c>
      <c r="O2187" s="37" t="s">
        <v>8</v>
      </c>
      <c r="P2187" s="47" t="str">
        <f>IF(AND('331-CT'!$F$5=TH!H2187,OR(N2187="331",O2187="331")),"x","")</f>
        <v/>
      </c>
      <c r="Q2187" s="47" t="str">
        <f>IF(AND(B2187='111'!$L$11,OR($N2187=$Q$7,$O2187=$Q$7)),"x","")</f>
        <v/>
      </c>
      <c r="R2187" s="47" t="str">
        <f>IF(AND($N2187=$Q$7,$B2187&lt;'111'!$L$11),"x","")</f>
        <v/>
      </c>
      <c r="S2187" s="47" t="str">
        <f>IF(AND($O2187=$Q$7,$B2187&lt;'111'!$L$11),"x","")</f>
        <v/>
      </c>
    </row>
    <row r="2188" spans="1:19" ht="15.75" customHeight="1">
      <c r="A2188" s="152" t="str">
        <f>IF(B2188&lt;&gt;"",IF(AND(B2188='IN-TC'!$S$4,OR(TH!N2188="1111",TH!O2188="1111")),TH!D2188,""),"")</f>
        <v/>
      </c>
      <c r="B2188" s="34">
        <f t="shared" si="86"/>
        <v>1</v>
      </c>
      <c r="C2188" s="35">
        <f t="shared" si="87"/>
        <v>0</v>
      </c>
      <c r="D2188" s="212"/>
      <c r="E2188" s="35"/>
      <c r="F2188" s="144"/>
      <c r="G2188" s="191"/>
      <c r="H2188" s="198"/>
      <c r="I2188" s="186"/>
      <c r="J2188" s="186"/>
      <c r="K2188" s="185"/>
      <c r="L2188" s="186"/>
      <c r="M2188" s="36">
        <f t="shared" si="88"/>
        <v>0</v>
      </c>
      <c r="N2188" s="37" t="s">
        <v>1443</v>
      </c>
      <c r="O2188" s="37" t="s">
        <v>8</v>
      </c>
      <c r="P2188" s="47" t="str">
        <f>IF(AND('331-CT'!$F$5=TH!H2188,OR(N2188="331",O2188="331")),"x","")</f>
        <v/>
      </c>
      <c r="Q2188" s="47" t="str">
        <f>IF(AND(B2188='111'!$L$11,OR($N2188=$Q$7,$O2188=$Q$7)),"x","")</f>
        <v/>
      </c>
      <c r="R2188" s="47" t="str">
        <f>IF(AND($N2188=$Q$7,$B2188&lt;'111'!$L$11),"x","")</f>
        <v/>
      </c>
      <c r="S2188" s="47" t="str">
        <f>IF(AND($O2188=$Q$7,$B2188&lt;'111'!$L$11),"x","")</f>
        <v/>
      </c>
    </row>
    <row r="2189" spans="1:19" ht="15.75" customHeight="1">
      <c r="A2189" s="152" t="str">
        <f>IF(B2189&lt;&gt;"",IF(AND(B2189='IN-TC'!$S$4,OR(TH!N2189="1111",TH!O2189="1111")),TH!D2189,""),"")</f>
        <v/>
      </c>
      <c r="B2189" s="34">
        <f t="shared" si="86"/>
        <v>1</v>
      </c>
      <c r="C2189" s="35">
        <f t="shared" si="87"/>
        <v>0</v>
      </c>
      <c r="D2189" s="212"/>
      <c r="E2189" s="35"/>
      <c r="F2189" s="144"/>
      <c r="G2189" s="191"/>
      <c r="H2189" s="198"/>
      <c r="I2189" s="186"/>
      <c r="J2189" s="186"/>
      <c r="K2189" s="185"/>
      <c r="L2189" s="186"/>
      <c r="M2189" s="36">
        <f t="shared" si="88"/>
        <v>0</v>
      </c>
      <c r="N2189" s="37" t="s">
        <v>1443</v>
      </c>
      <c r="O2189" s="37" t="s">
        <v>8</v>
      </c>
      <c r="P2189" s="47" t="str">
        <f>IF(AND('331-CT'!$F$5=TH!H2189,OR(N2189="331",O2189="331")),"x","")</f>
        <v/>
      </c>
      <c r="Q2189" s="47" t="str">
        <f>IF(AND(B2189='111'!$L$11,OR($N2189=$Q$7,$O2189=$Q$7)),"x","")</f>
        <v/>
      </c>
      <c r="R2189" s="47" t="str">
        <f>IF(AND($N2189=$Q$7,$B2189&lt;'111'!$L$11),"x","")</f>
        <v/>
      </c>
      <c r="S2189" s="47" t="str">
        <f>IF(AND($O2189=$Q$7,$B2189&lt;'111'!$L$11),"x","")</f>
        <v/>
      </c>
    </row>
    <row r="2190" spans="1:19" ht="15.75" customHeight="1">
      <c r="A2190" s="152" t="str">
        <f>IF(B2190&lt;&gt;"",IF(AND(B2190='IN-TC'!$S$4,OR(TH!N2190="1111",TH!O2190="1111")),TH!D2190,""),"")</f>
        <v/>
      </c>
      <c r="B2190" s="34">
        <f t="shared" si="86"/>
        <v>1</v>
      </c>
      <c r="C2190" s="35">
        <f t="shared" si="87"/>
        <v>0</v>
      </c>
      <c r="D2190" s="212"/>
      <c r="E2190" s="35"/>
      <c r="F2190" s="144"/>
      <c r="G2190" s="191"/>
      <c r="H2190" s="198"/>
      <c r="I2190" s="186"/>
      <c r="J2190" s="186"/>
      <c r="K2190" s="185"/>
      <c r="L2190" s="186"/>
      <c r="M2190" s="36">
        <f t="shared" si="88"/>
        <v>0</v>
      </c>
      <c r="N2190" s="37" t="s">
        <v>1443</v>
      </c>
      <c r="O2190" s="37" t="s">
        <v>8</v>
      </c>
      <c r="P2190" s="47" t="str">
        <f>IF(AND('331-CT'!$F$5=TH!H2190,OR(N2190="331",O2190="331")),"x","")</f>
        <v/>
      </c>
      <c r="Q2190" s="47" t="str">
        <f>IF(AND(B2190='111'!$L$11,OR($N2190=$Q$7,$O2190=$Q$7)),"x","")</f>
        <v/>
      </c>
      <c r="R2190" s="47" t="str">
        <f>IF(AND($N2190=$Q$7,$B2190&lt;'111'!$L$11),"x","")</f>
        <v/>
      </c>
      <c r="S2190" s="47" t="str">
        <f>IF(AND($O2190=$Q$7,$B2190&lt;'111'!$L$11),"x","")</f>
        <v/>
      </c>
    </row>
    <row r="2191" spans="1:19" ht="15.75" customHeight="1">
      <c r="A2191" s="152" t="str">
        <f>IF(B2191&lt;&gt;"",IF(AND(B2191='IN-TC'!$S$4,OR(TH!N2191="1111",TH!O2191="1111")),TH!D2191,""),"")</f>
        <v/>
      </c>
      <c r="B2191" s="34">
        <f t="shared" si="86"/>
        <v>1</v>
      </c>
      <c r="C2191" s="35">
        <f t="shared" si="87"/>
        <v>0</v>
      </c>
      <c r="D2191" s="212"/>
      <c r="E2191" s="35"/>
      <c r="F2191" s="144"/>
      <c r="G2191" s="191"/>
      <c r="H2191" s="198"/>
      <c r="I2191" s="186"/>
      <c r="J2191" s="186"/>
      <c r="K2191" s="185"/>
      <c r="L2191" s="186"/>
      <c r="M2191" s="36">
        <f t="shared" si="88"/>
        <v>0</v>
      </c>
      <c r="N2191" s="37" t="s">
        <v>1443</v>
      </c>
      <c r="O2191" s="37" t="s">
        <v>8</v>
      </c>
      <c r="P2191" s="47" t="str">
        <f>IF(AND('331-CT'!$F$5=TH!H2191,OR(N2191="331",O2191="331")),"x","")</f>
        <v/>
      </c>
      <c r="Q2191" s="47" t="str">
        <f>IF(AND(B2191='111'!$L$11,OR($N2191=$Q$7,$O2191=$Q$7)),"x","")</f>
        <v/>
      </c>
      <c r="R2191" s="47" t="str">
        <f>IF(AND($N2191=$Q$7,$B2191&lt;'111'!$L$11),"x","")</f>
        <v/>
      </c>
      <c r="S2191" s="47" t="str">
        <f>IF(AND($O2191=$Q$7,$B2191&lt;'111'!$L$11),"x","")</f>
        <v/>
      </c>
    </row>
    <row r="2192" spans="1:19" ht="15.75" customHeight="1">
      <c r="A2192" s="152" t="str">
        <f>IF(B2192&lt;&gt;"",IF(AND(B2192='IN-TC'!$S$4,OR(TH!N2192="1111",TH!O2192="1111")),TH!D2192,""),"")</f>
        <v/>
      </c>
      <c r="B2192" s="34">
        <f t="shared" si="86"/>
        <v>1</v>
      </c>
      <c r="C2192" s="35">
        <f t="shared" si="87"/>
        <v>0</v>
      </c>
      <c r="D2192" s="212"/>
      <c r="E2192" s="35"/>
      <c r="F2192" s="144"/>
      <c r="G2192" s="191"/>
      <c r="H2192" s="198"/>
      <c r="I2192" s="186"/>
      <c r="J2192" s="186"/>
      <c r="K2192" s="185"/>
      <c r="L2192" s="186"/>
      <c r="M2192" s="36">
        <f t="shared" si="88"/>
        <v>0</v>
      </c>
      <c r="N2192" s="37" t="s">
        <v>1443</v>
      </c>
      <c r="O2192" s="37" t="s">
        <v>8</v>
      </c>
      <c r="P2192" s="47" t="str">
        <f>IF(AND('331-CT'!$F$5=TH!H2192,OR(N2192="331",O2192="331")),"x","")</f>
        <v/>
      </c>
      <c r="Q2192" s="47" t="str">
        <f>IF(AND(B2192='111'!$L$11,OR($N2192=$Q$7,$O2192=$Q$7)),"x","")</f>
        <v/>
      </c>
      <c r="R2192" s="47" t="str">
        <f>IF(AND($N2192=$Q$7,$B2192&lt;'111'!$L$11),"x","")</f>
        <v/>
      </c>
      <c r="S2192" s="47" t="str">
        <f>IF(AND($O2192=$Q$7,$B2192&lt;'111'!$L$11),"x","")</f>
        <v/>
      </c>
    </row>
    <row r="2193" spans="1:19" ht="15.75" customHeight="1">
      <c r="A2193" s="152" t="str">
        <f>IF(B2193&lt;&gt;"",IF(AND(B2193='IN-TC'!$S$4,OR(TH!N2193="1111",TH!O2193="1111")),TH!D2193,""),"")</f>
        <v/>
      </c>
      <c r="B2193" s="34">
        <f t="shared" si="86"/>
        <v>1</v>
      </c>
      <c r="C2193" s="35">
        <f t="shared" si="87"/>
        <v>0</v>
      </c>
      <c r="D2193" s="212"/>
      <c r="E2193" s="35"/>
      <c r="F2193" s="144"/>
      <c r="G2193" s="191"/>
      <c r="H2193" s="198"/>
      <c r="I2193" s="186"/>
      <c r="J2193" s="186"/>
      <c r="K2193" s="185"/>
      <c r="L2193" s="186"/>
      <c r="M2193" s="36">
        <f t="shared" si="88"/>
        <v>0</v>
      </c>
      <c r="N2193" s="37" t="s">
        <v>1443</v>
      </c>
      <c r="O2193" s="37" t="s">
        <v>8</v>
      </c>
      <c r="P2193" s="47" t="str">
        <f>IF(AND('331-CT'!$F$5=TH!H2193,OR(N2193="331",O2193="331")),"x","")</f>
        <v/>
      </c>
      <c r="Q2193" s="47" t="str">
        <f>IF(AND(B2193='111'!$L$11,OR($N2193=$Q$7,$O2193=$Q$7)),"x","")</f>
        <v/>
      </c>
      <c r="R2193" s="47" t="str">
        <f>IF(AND($N2193=$Q$7,$B2193&lt;'111'!$L$11),"x","")</f>
        <v/>
      </c>
      <c r="S2193" s="47" t="str">
        <f>IF(AND($O2193=$Q$7,$B2193&lt;'111'!$L$11),"x","")</f>
        <v/>
      </c>
    </row>
    <row r="2194" spans="1:19" ht="15.75" customHeight="1">
      <c r="A2194" s="152" t="str">
        <f>IF(B2194&lt;&gt;"",IF(AND(B2194='IN-TC'!$S$4,OR(TH!N2194="1111",TH!O2194="1111")),TH!D2194,""),"")</f>
        <v/>
      </c>
      <c r="B2194" s="34">
        <f t="shared" si="86"/>
        <v>1</v>
      </c>
      <c r="C2194" s="35">
        <f t="shared" si="87"/>
        <v>0</v>
      </c>
      <c r="D2194" s="212"/>
      <c r="E2194" s="35"/>
      <c r="F2194" s="144"/>
      <c r="G2194" s="191"/>
      <c r="H2194" s="198"/>
      <c r="I2194" s="186"/>
      <c r="J2194" s="186"/>
      <c r="K2194" s="185"/>
      <c r="L2194" s="186"/>
      <c r="M2194" s="36">
        <f t="shared" si="88"/>
        <v>0</v>
      </c>
      <c r="N2194" s="37" t="s">
        <v>1443</v>
      </c>
      <c r="O2194" s="37" t="s">
        <v>8</v>
      </c>
      <c r="P2194" s="47" t="str">
        <f>IF(AND('331-CT'!$F$5=TH!H2194,OR(N2194="331",O2194="331")),"x","")</f>
        <v/>
      </c>
      <c r="Q2194" s="47" t="str">
        <f>IF(AND(B2194='111'!$L$11,OR($N2194=$Q$7,$O2194=$Q$7)),"x","")</f>
        <v/>
      </c>
      <c r="R2194" s="47" t="str">
        <f>IF(AND($N2194=$Q$7,$B2194&lt;'111'!$L$11),"x","")</f>
        <v/>
      </c>
      <c r="S2194" s="47" t="str">
        <f>IF(AND($O2194=$Q$7,$B2194&lt;'111'!$L$11),"x","")</f>
        <v/>
      </c>
    </row>
    <row r="2195" spans="1:19" ht="15.75" customHeight="1">
      <c r="A2195" s="152" t="str">
        <f>IF(B2195&lt;&gt;"",IF(AND(B2195='IN-TC'!$S$4,OR(TH!N2195="1111",TH!O2195="1111")),TH!D2195,""),"")</f>
        <v/>
      </c>
      <c r="B2195" s="34">
        <f t="shared" si="86"/>
        <v>1</v>
      </c>
      <c r="C2195" s="35">
        <f t="shared" si="87"/>
        <v>0</v>
      </c>
      <c r="D2195" s="212"/>
      <c r="E2195" s="35"/>
      <c r="F2195" s="144"/>
      <c r="G2195" s="191"/>
      <c r="H2195" s="198"/>
      <c r="I2195" s="186"/>
      <c r="J2195" s="186"/>
      <c r="K2195" s="185"/>
      <c r="L2195" s="186"/>
      <c r="M2195" s="36">
        <f t="shared" si="88"/>
        <v>0</v>
      </c>
      <c r="N2195" s="37" t="s">
        <v>1443</v>
      </c>
      <c r="O2195" s="37" t="s">
        <v>8</v>
      </c>
      <c r="P2195" s="47" t="str">
        <f>IF(AND('331-CT'!$F$5=TH!H2195,OR(N2195="331",O2195="331")),"x","")</f>
        <v/>
      </c>
      <c r="Q2195" s="47" t="str">
        <f>IF(AND(B2195='111'!$L$11,OR($N2195=$Q$7,$O2195=$Q$7)),"x","")</f>
        <v/>
      </c>
      <c r="R2195" s="47" t="str">
        <f>IF(AND($N2195=$Q$7,$B2195&lt;'111'!$L$11),"x","")</f>
        <v/>
      </c>
      <c r="S2195" s="47" t="str">
        <f>IF(AND($O2195=$Q$7,$B2195&lt;'111'!$L$11),"x","")</f>
        <v/>
      </c>
    </row>
    <row r="2196" spans="1:19" ht="15.75" customHeight="1">
      <c r="A2196" s="152" t="str">
        <f>IF(B2196&lt;&gt;"",IF(AND(B2196='IN-TC'!$S$4,OR(TH!N2196="1111",TH!O2196="1111")),TH!D2196,""),"")</f>
        <v/>
      </c>
      <c r="B2196" s="34">
        <f t="shared" si="86"/>
        <v>1</v>
      </c>
      <c r="C2196" s="35">
        <f t="shared" si="87"/>
        <v>0</v>
      </c>
      <c r="D2196" s="212"/>
      <c r="E2196" s="35"/>
      <c r="F2196" s="144"/>
      <c r="G2196" s="191"/>
      <c r="H2196" s="198"/>
      <c r="I2196" s="186"/>
      <c r="J2196" s="186"/>
      <c r="K2196" s="185"/>
      <c r="L2196" s="186"/>
      <c r="M2196" s="36">
        <f t="shared" si="88"/>
        <v>0</v>
      </c>
      <c r="N2196" s="37" t="s">
        <v>1443</v>
      </c>
      <c r="O2196" s="37" t="s">
        <v>8</v>
      </c>
      <c r="P2196" s="47" t="str">
        <f>IF(AND('331-CT'!$F$5=TH!H2196,OR(N2196="331",O2196="331")),"x","")</f>
        <v/>
      </c>
      <c r="Q2196" s="47" t="str">
        <f>IF(AND(B2196='111'!$L$11,OR($N2196=$Q$7,$O2196=$Q$7)),"x","")</f>
        <v/>
      </c>
      <c r="R2196" s="47" t="str">
        <f>IF(AND($N2196=$Q$7,$B2196&lt;'111'!$L$11),"x","")</f>
        <v/>
      </c>
      <c r="S2196" s="47" t="str">
        <f>IF(AND($O2196=$Q$7,$B2196&lt;'111'!$L$11),"x","")</f>
        <v/>
      </c>
    </row>
    <row r="2197" spans="1:19" ht="15.75" customHeight="1">
      <c r="A2197" s="152" t="str">
        <f>IF(B2197&lt;&gt;"",IF(AND(B2197='IN-TC'!$S$4,OR(TH!N2197="1111",TH!O2197="1111")),TH!D2197,""),"")</f>
        <v/>
      </c>
      <c r="B2197" s="34">
        <f t="shared" si="86"/>
        <v>1</v>
      </c>
      <c r="C2197" s="35">
        <f t="shared" si="87"/>
        <v>0</v>
      </c>
      <c r="D2197" s="212"/>
      <c r="E2197" s="35"/>
      <c r="F2197" s="144"/>
      <c r="G2197" s="191"/>
      <c r="H2197" s="198"/>
      <c r="I2197" s="186"/>
      <c r="J2197" s="186"/>
      <c r="K2197" s="185"/>
      <c r="L2197" s="186"/>
      <c r="M2197" s="36">
        <f t="shared" si="88"/>
        <v>0</v>
      </c>
      <c r="N2197" s="37" t="s">
        <v>1443</v>
      </c>
      <c r="O2197" s="37" t="s">
        <v>8</v>
      </c>
      <c r="P2197" s="47" t="str">
        <f>IF(AND('331-CT'!$F$5=TH!H2197,OR(N2197="331",O2197="331")),"x","")</f>
        <v/>
      </c>
      <c r="Q2197" s="47" t="str">
        <f>IF(AND(B2197='111'!$L$11,OR($N2197=$Q$7,$O2197=$Q$7)),"x","")</f>
        <v/>
      </c>
      <c r="R2197" s="47" t="str">
        <f>IF(AND($N2197=$Q$7,$B2197&lt;'111'!$L$11),"x","")</f>
        <v/>
      </c>
      <c r="S2197" s="47" t="str">
        <f>IF(AND($O2197=$Q$7,$B2197&lt;'111'!$L$11),"x","")</f>
        <v/>
      </c>
    </row>
    <row r="2198" spans="1:19" ht="15.75" customHeight="1">
      <c r="A2198" s="152" t="str">
        <f>IF(B2198&lt;&gt;"",IF(AND(B2198='IN-TC'!$S$4,OR(TH!N2198="1111",TH!O2198="1111")),TH!D2198,""),"")</f>
        <v/>
      </c>
      <c r="B2198" s="34">
        <f t="shared" si="86"/>
        <v>1</v>
      </c>
      <c r="C2198" s="35">
        <f t="shared" si="87"/>
        <v>0</v>
      </c>
      <c r="D2198" s="212"/>
      <c r="E2198" s="35"/>
      <c r="F2198" s="144"/>
      <c r="G2198" s="191"/>
      <c r="H2198" s="198"/>
      <c r="I2198" s="186"/>
      <c r="J2198" s="186"/>
      <c r="K2198" s="185"/>
      <c r="L2198" s="186"/>
      <c r="M2198" s="36">
        <f t="shared" si="88"/>
        <v>0</v>
      </c>
      <c r="N2198" s="37" t="s">
        <v>1443</v>
      </c>
      <c r="O2198" s="37" t="s">
        <v>8</v>
      </c>
      <c r="P2198" s="47" t="str">
        <f>IF(AND('331-CT'!$F$5=TH!H2198,OR(N2198="331",O2198="331")),"x","")</f>
        <v/>
      </c>
      <c r="Q2198" s="47" t="str">
        <f>IF(AND(B2198='111'!$L$11,OR($N2198=$Q$7,$O2198=$Q$7)),"x","")</f>
        <v/>
      </c>
      <c r="R2198" s="47" t="str">
        <f>IF(AND($N2198=$Q$7,$B2198&lt;'111'!$L$11),"x","")</f>
        <v/>
      </c>
      <c r="S2198" s="47" t="str">
        <f>IF(AND($O2198=$Q$7,$B2198&lt;'111'!$L$11),"x","")</f>
        <v/>
      </c>
    </row>
    <row r="2199" spans="1:19" ht="15.75" customHeight="1">
      <c r="A2199" s="152" t="str">
        <f>IF(B2199&lt;&gt;"",IF(AND(B2199='IN-TC'!$S$4,OR(TH!N2199="1111",TH!O2199="1111")),TH!D2199,""),"")</f>
        <v/>
      </c>
      <c r="B2199" s="34">
        <f t="shared" si="86"/>
        <v>1</v>
      </c>
      <c r="C2199" s="35">
        <f t="shared" si="87"/>
        <v>0</v>
      </c>
      <c r="D2199" s="212"/>
      <c r="E2199" s="35"/>
      <c r="F2199" s="144"/>
      <c r="G2199" s="191"/>
      <c r="H2199" s="198"/>
      <c r="I2199" s="186"/>
      <c r="J2199" s="186"/>
      <c r="K2199" s="185"/>
      <c r="L2199" s="186"/>
      <c r="M2199" s="36">
        <f t="shared" si="88"/>
        <v>0</v>
      </c>
      <c r="N2199" s="37" t="s">
        <v>1443</v>
      </c>
      <c r="O2199" s="37" t="s">
        <v>8</v>
      </c>
      <c r="P2199" s="47" t="str">
        <f>IF(AND('331-CT'!$F$5=TH!H2199,OR(N2199="331",O2199="331")),"x","")</f>
        <v/>
      </c>
      <c r="Q2199" s="47" t="str">
        <f>IF(AND(B2199='111'!$L$11,OR($N2199=$Q$7,$O2199=$Q$7)),"x","")</f>
        <v/>
      </c>
      <c r="R2199" s="47" t="str">
        <f>IF(AND($N2199=$Q$7,$B2199&lt;'111'!$L$11),"x","")</f>
        <v/>
      </c>
      <c r="S2199" s="47" t="str">
        <f>IF(AND($O2199=$Q$7,$B2199&lt;'111'!$L$11),"x","")</f>
        <v/>
      </c>
    </row>
    <row r="2200" spans="1:19" ht="15.75" customHeight="1">
      <c r="A2200" s="152" t="str">
        <f>IF(B2200&lt;&gt;"",IF(AND(B2200='IN-TC'!$S$4,OR(TH!N2200="1111",TH!O2200="1111")),TH!D2200,""),"")</f>
        <v/>
      </c>
      <c r="B2200" s="34">
        <f t="shared" si="86"/>
        <v>1</v>
      </c>
      <c r="C2200" s="35">
        <f t="shared" si="87"/>
        <v>0</v>
      </c>
      <c r="D2200" s="212"/>
      <c r="E2200" s="35"/>
      <c r="F2200" s="144"/>
      <c r="G2200" s="191"/>
      <c r="H2200" s="198"/>
      <c r="I2200" s="186"/>
      <c r="J2200" s="186"/>
      <c r="K2200" s="185"/>
      <c r="L2200" s="186"/>
      <c r="M2200" s="36">
        <f t="shared" si="88"/>
        <v>0</v>
      </c>
      <c r="N2200" s="37" t="s">
        <v>1443</v>
      </c>
      <c r="O2200" s="37" t="s">
        <v>8</v>
      </c>
      <c r="P2200" s="47" t="str">
        <f>IF(AND('331-CT'!$F$5=TH!H2200,OR(N2200="331",O2200="331")),"x","")</f>
        <v/>
      </c>
      <c r="Q2200" s="47" t="str">
        <f>IF(AND(B2200='111'!$L$11,OR($N2200=$Q$7,$O2200=$Q$7)),"x","")</f>
        <v/>
      </c>
      <c r="R2200" s="47" t="str">
        <f>IF(AND($N2200=$Q$7,$B2200&lt;'111'!$L$11),"x","")</f>
        <v/>
      </c>
      <c r="S2200" s="47" t="str">
        <f>IF(AND($O2200=$Q$7,$B2200&lt;'111'!$L$11),"x","")</f>
        <v/>
      </c>
    </row>
    <row r="2201" spans="1:19" ht="15.75" customHeight="1">
      <c r="A2201" s="152" t="str">
        <f>IF(B2201&lt;&gt;"",IF(AND(B2201='IN-TC'!$S$4,OR(TH!N2201="1111",TH!O2201="1111")),TH!D2201,""),"")</f>
        <v/>
      </c>
      <c r="B2201" s="34">
        <f t="shared" si="86"/>
        <v>1</v>
      </c>
      <c r="C2201" s="35">
        <f t="shared" si="87"/>
        <v>0</v>
      </c>
      <c r="D2201" s="212"/>
      <c r="E2201" s="35"/>
      <c r="F2201" s="144"/>
      <c r="G2201" s="191"/>
      <c r="H2201" s="198"/>
      <c r="I2201" s="186"/>
      <c r="J2201" s="186"/>
      <c r="K2201" s="185"/>
      <c r="L2201" s="186"/>
      <c r="M2201" s="36">
        <f t="shared" si="88"/>
        <v>0</v>
      </c>
      <c r="N2201" s="37" t="s">
        <v>1443</v>
      </c>
      <c r="O2201" s="37" t="s">
        <v>8</v>
      </c>
      <c r="P2201" s="47" t="str">
        <f>IF(AND('331-CT'!$F$5=TH!H2201,OR(N2201="331",O2201="331")),"x","")</f>
        <v/>
      </c>
      <c r="Q2201" s="47" t="str">
        <f>IF(AND(B2201='111'!$L$11,OR($N2201=$Q$7,$O2201=$Q$7)),"x","")</f>
        <v/>
      </c>
      <c r="R2201" s="47" t="str">
        <f>IF(AND($N2201=$Q$7,$B2201&lt;'111'!$L$11),"x","")</f>
        <v/>
      </c>
      <c r="S2201" s="47" t="str">
        <f>IF(AND($O2201=$Q$7,$B2201&lt;'111'!$L$11),"x","")</f>
        <v/>
      </c>
    </row>
    <row r="2202" spans="1:19" ht="15.75" customHeight="1">
      <c r="A2202" s="152" t="str">
        <f>IF(B2202&lt;&gt;"",IF(AND(B2202='IN-TC'!$S$4,OR(TH!N2202="1111",TH!O2202="1111")),TH!D2202,""),"")</f>
        <v/>
      </c>
      <c r="B2202" s="34">
        <f t="shared" si="86"/>
        <v>1</v>
      </c>
      <c r="C2202" s="35">
        <f t="shared" si="87"/>
        <v>0</v>
      </c>
      <c r="D2202" s="212"/>
      <c r="E2202" s="35"/>
      <c r="F2202" s="144"/>
      <c r="G2202" s="191"/>
      <c r="H2202" s="198"/>
      <c r="I2202" s="186"/>
      <c r="J2202" s="186"/>
      <c r="K2202" s="185"/>
      <c r="L2202" s="186"/>
      <c r="M2202" s="36">
        <f t="shared" si="88"/>
        <v>0</v>
      </c>
      <c r="N2202" s="37" t="s">
        <v>1443</v>
      </c>
      <c r="O2202" s="37" t="s">
        <v>8</v>
      </c>
      <c r="P2202" s="47" t="str">
        <f>IF(AND('331-CT'!$F$5=TH!H2202,OR(N2202="331",O2202="331")),"x","")</f>
        <v/>
      </c>
      <c r="Q2202" s="47" t="str">
        <f>IF(AND(B2202='111'!$L$11,OR($N2202=$Q$7,$O2202=$Q$7)),"x","")</f>
        <v/>
      </c>
      <c r="R2202" s="47" t="str">
        <f>IF(AND($N2202=$Q$7,$B2202&lt;'111'!$L$11),"x","")</f>
        <v/>
      </c>
      <c r="S2202" s="47" t="str">
        <f>IF(AND($O2202=$Q$7,$B2202&lt;'111'!$L$11),"x","")</f>
        <v/>
      </c>
    </row>
    <row r="2203" spans="1:19" ht="15.75" customHeight="1">
      <c r="A2203" s="152" t="str">
        <f>IF(B2203&lt;&gt;"",IF(AND(B2203='IN-TC'!$S$4,OR(TH!N2203="1111",TH!O2203="1111")),TH!D2203,""),"")</f>
        <v/>
      </c>
      <c r="B2203" s="34">
        <f t="shared" si="86"/>
        <v>1</v>
      </c>
      <c r="C2203" s="35">
        <f t="shared" si="87"/>
        <v>0</v>
      </c>
      <c r="D2203" s="212"/>
      <c r="E2203" s="35"/>
      <c r="F2203" s="144"/>
      <c r="G2203" s="191"/>
      <c r="H2203" s="198"/>
      <c r="I2203" s="186"/>
      <c r="J2203" s="186"/>
      <c r="K2203" s="185"/>
      <c r="L2203" s="186"/>
      <c r="M2203" s="36">
        <f t="shared" si="88"/>
        <v>0</v>
      </c>
      <c r="N2203" s="37" t="s">
        <v>1443</v>
      </c>
      <c r="O2203" s="37" t="s">
        <v>8</v>
      </c>
      <c r="P2203" s="47" t="str">
        <f>IF(AND('331-CT'!$F$5=TH!H2203,OR(N2203="331",O2203="331")),"x","")</f>
        <v/>
      </c>
      <c r="Q2203" s="47" t="str">
        <f>IF(AND(B2203='111'!$L$11,OR($N2203=$Q$7,$O2203=$Q$7)),"x","")</f>
        <v/>
      </c>
      <c r="R2203" s="47" t="str">
        <f>IF(AND($N2203=$Q$7,$B2203&lt;'111'!$L$11),"x","")</f>
        <v/>
      </c>
      <c r="S2203" s="47" t="str">
        <f>IF(AND($O2203=$Q$7,$B2203&lt;'111'!$L$11),"x","")</f>
        <v/>
      </c>
    </row>
    <row r="2204" spans="1:19" ht="15.75" customHeight="1">
      <c r="A2204" s="152" t="str">
        <f>IF(B2204&lt;&gt;"",IF(AND(B2204='IN-TC'!$S$4,OR(TH!N2204="1111",TH!O2204="1111")),TH!D2204,""),"")</f>
        <v/>
      </c>
      <c r="B2204" s="34">
        <f t="shared" si="86"/>
        <v>1</v>
      </c>
      <c r="C2204" s="35">
        <f t="shared" si="87"/>
        <v>0</v>
      </c>
      <c r="D2204" s="212"/>
      <c r="E2204" s="35"/>
      <c r="F2204" s="144"/>
      <c r="G2204" s="191"/>
      <c r="H2204" s="198"/>
      <c r="I2204" s="186"/>
      <c r="J2204" s="186"/>
      <c r="K2204" s="185"/>
      <c r="L2204" s="186"/>
      <c r="M2204" s="36">
        <f t="shared" si="88"/>
        <v>0</v>
      </c>
      <c r="N2204" s="37" t="s">
        <v>1443</v>
      </c>
      <c r="O2204" s="37" t="s">
        <v>8</v>
      </c>
      <c r="P2204" s="47" t="str">
        <f>IF(AND('331-CT'!$F$5=TH!H2204,OR(N2204="331",O2204="331")),"x","")</f>
        <v/>
      </c>
      <c r="Q2204" s="47" t="str">
        <f>IF(AND(B2204='111'!$L$11,OR($N2204=$Q$7,$O2204=$Q$7)),"x","")</f>
        <v/>
      </c>
      <c r="R2204" s="47" t="str">
        <f>IF(AND($N2204=$Q$7,$B2204&lt;'111'!$L$11),"x","")</f>
        <v/>
      </c>
      <c r="S2204" s="47" t="str">
        <f>IF(AND($O2204=$Q$7,$B2204&lt;'111'!$L$11),"x","")</f>
        <v/>
      </c>
    </row>
    <row r="2205" spans="1:19" ht="15.75" customHeight="1">
      <c r="A2205" s="152" t="str">
        <f>IF(B2205&lt;&gt;"",IF(AND(B2205='IN-TC'!$S$4,OR(TH!N2205="1111",TH!O2205="1111")),TH!D2205,""),"")</f>
        <v/>
      </c>
      <c r="B2205" s="34">
        <f t="shared" si="86"/>
        <v>1</v>
      </c>
      <c r="C2205" s="35">
        <f t="shared" si="87"/>
        <v>0</v>
      </c>
      <c r="D2205" s="212"/>
      <c r="E2205" s="35"/>
      <c r="F2205" s="144"/>
      <c r="G2205" s="191"/>
      <c r="H2205" s="198"/>
      <c r="I2205" s="186"/>
      <c r="J2205" s="186"/>
      <c r="K2205" s="185"/>
      <c r="L2205" s="186"/>
      <c r="M2205" s="36">
        <f t="shared" si="88"/>
        <v>0</v>
      </c>
      <c r="N2205" s="37" t="s">
        <v>1443</v>
      </c>
      <c r="O2205" s="37" t="s">
        <v>8</v>
      </c>
      <c r="P2205" s="47" t="str">
        <f>IF(AND('331-CT'!$F$5=TH!H2205,OR(N2205="331",O2205="331")),"x","")</f>
        <v/>
      </c>
      <c r="Q2205" s="47" t="str">
        <f>IF(AND(B2205='111'!$L$11,OR($N2205=$Q$7,$O2205=$Q$7)),"x","")</f>
        <v/>
      </c>
      <c r="R2205" s="47" t="str">
        <f>IF(AND($N2205=$Q$7,$B2205&lt;'111'!$L$11),"x","")</f>
        <v/>
      </c>
      <c r="S2205" s="47" t="str">
        <f>IF(AND($O2205=$Q$7,$B2205&lt;'111'!$L$11),"x","")</f>
        <v/>
      </c>
    </row>
    <row r="2206" spans="1:19" ht="15.75" customHeight="1">
      <c r="A2206" s="152" t="str">
        <f>IF(B2206&lt;&gt;"",IF(AND(B2206='IN-TC'!$S$4,OR(TH!N2206="1111",TH!O2206="1111")),TH!D2206,""),"")</f>
        <v/>
      </c>
      <c r="B2206" s="34">
        <f t="shared" si="86"/>
        <v>1</v>
      </c>
      <c r="C2206" s="35">
        <f t="shared" si="87"/>
        <v>0</v>
      </c>
      <c r="D2206" s="212"/>
      <c r="E2206" s="35"/>
      <c r="F2206" s="144"/>
      <c r="G2206" s="191"/>
      <c r="H2206" s="198"/>
      <c r="I2206" s="186"/>
      <c r="J2206" s="186"/>
      <c r="K2206" s="185"/>
      <c r="L2206" s="186"/>
      <c r="M2206" s="36">
        <f t="shared" si="88"/>
        <v>0</v>
      </c>
      <c r="N2206" s="37" t="s">
        <v>1443</v>
      </c>
      <c r="O2206" s="37" t="s">
        <v>8</v>
      </c>
      <c r="P2206" s="47" t="str">
        <f>IF(AND('331-CT'!$F$5=TH!H2206,OR(N2206="331",O2206="331")),"x","")</f>
        <v/>
      </c>
      <c r="Q2206" s="47" t="str">
        <f>IF(AND(B2206='111'!$L$11,OR($N2206=$Q$7,$O2206=$Q$7)),"x","")</f>
        <v/>
      </c>
      <c r="R2206" s="47" t="str">
        <f>IF(AND($N2206=$Q$7,$B2206&lt;'111'!$L$11),"x","")</f>
        <v/>
      </c>
      <c r="S2206" s="47" t="str">
        <f>IF(AND($O2206=$Q$7,$B2206&lt;'111'!$L$11),"x","")</f>
        <v/>
      </c>
    </row>
    <row r="2207" spans="1:19" ht="15.75" customHeight="1">
      <c r="A2207" s="152" t="str">
        <f>IF(B2207&lt;&gt;"",IF(AND(B2207='IN-TC'!$S$4,OR(TH!N2207="1111",TH!O2207="1111")),TH!D2207,""),"")</f>
        <v/>
      </c>
      <c r="B2207" s="34">
        <f t="shared" si="86"/>
        <v>1</v>
      </c>
      <c r="C2207" s="35">
        <f t="shared" si="87"/>
        <v>0</v>
      </c>
      <c r="D2207" s="212"/>
      <c r="E2207" s="35"/>
      <c r="F2207" s="144"/>
      <c r="G2207" s="191"/>
      <c r="H2207" s="198"/>
      <c r="I2207" s="186"/>
      <c r="J2207" s="186"/>
      <c r="K2207" s="185"/>
      <c r="L2207" s="186"/>
      <c r="M2207" s="36">
        <f t="shared" si="88"/>
        <v>0</v>
      </c>
      <c r="N2207" s="37" t="s">
        <v>1443</v>
      </c>
      <c r="O2207" s="37" t="s">
        <v>8</v>
      </c>
      <c r="P2207" s="47" t="str">
        <f>IF(AND('331-CT'!$F$5=TH!H2207,OR(N2207="331",O2207="331")),"x","")</f>
        <v/>
      </c>
      <c r="Q2207" s="47" t="str">
        <f>IF(AND(B2207='111'!$L$11,OR($N2207=$Q$7,$O2207=$Q$7)),"x","")</f>
        <v/>
      </c>
      <c r="R2207" s="47" t="str">
        <f>IF(AND($N2207=$Q$7,$B2207&lt;'111'!$L$11),"x","")</f>
        <v/>
      </c>
      <c r="S2207" s="47" t="str">
        <f>IF(AND($O2207=$Q$7,$B2207&lt;'111'!$L$11),"x","")</f>
        <v/>
      </c>
    </row>
    <row r="2208" spans="1:19" ht="15.75" customHeight="1">
      <c r="A2208" s="152" t="str">
        <f>IF(B2208&lt;&gt;"",IF(AND(B2208='IN-TC'!$S$4,OR(TH!N2208="1111",TH!O2208="1111")),TH!D2208,""),"")</f>
        <v/>
      </c>
      <c r="B2208" s="34">
        <f t="shared" si="86"/>
        <v>1</v>
      </c>
      <c r="C2208" s="35">
        <f t="shared" si="87"/>
        <v>0</v>
      </c>
      <c r="D2208" s="212"/>
      <c r="E2208" s="35"/>
      <c r="F2208" s="144"/>
      <c r="G2208" s="191"/>
      <c r="H2208" s="198"/>
      <c r="I2208" s="186"/>
      <c r="J2208" s="186"/>
      <c r="K2208" s="185"/>
      <c r="L2208" s="186"/>
      <c r="M2208" s="36">
        <f t="shared" si="88"/>
        <v>0</v>
      </c>
      <c r="N2208" s="37" t="s">
        <v>1443</v>
      </c>
      <c r="O2208" s="37" t="s">
        <v>8</v>
      </c>
      <c r="P2208" s="47" t="str">
        <f>IF(AND('331-CT'!$F$5=TH!H2208,OR(N2208="331",O2208="331")),"x","")</f>
        <v/>
      </c>
      <c r="Q2208" s="47" t="str">
        <f>IF(AND(B2208='111'!$L$11,OR($N2208=$Q$7,$O2208=$Q$7)),"x","")</f>
        <v/>
      </c>
      <c r="R2208" s="47" t="str">
        <f>IF(AND($N2208=$Q$7,$B2208&lt;'111'!$L$11),"x","")</f>
        <v/>
      </c>
      <c r="S2208" s="47" t="str">
        <f>IF(AND($O2208=$Q$7,$B2208&lt;'111'!$L$11),"x","")</f>
        <v/>
      </c>
    </row>
    <row r="2209" spans="1:19" ht="15.75" customHeight="1">
      <c r="A2209" s="152" t="str">
        <f>IF(B2209&lt;&gt;"",IF(AND(B2209='IN-TC'!$S$4,OR(TH!N2209="1111",TH!O2209="1111")),TH!D2209,""),"")</f>
        <v/>
      </c>
      <c r="B2209" s="34">
        <f t="shared" si="86"/>
        <v>1</v>
      </c>
      <c r="C2209" s="35">
        <f t="shared" si="87"/>
        <v>0</v>
      </c>
      <c r="D2209" s="212"/>
      <c r="E2209" s="35"/>
      <c r="F2209" s="144"/>
      <c r="G2209" s="191"/>
      <c r="H2209" s="198"/>
      <c r="I2209" s="186"/>
      <c r="J2209" s="186"/>
      <c r="K2209" s="185"/>
      <c r="L2209" s="186"/>
      <c r="M2209" s="36">
        <f t="shared" si="88"/>
        <v>0</v>
      </c>
      <c r="N2209" s="37" t="s">
        <v>1443</v>
      </c>
      <c r="O2209" s="37" t="s">
        <v>8</v>
      </c>
      <c r="P2209" s="47" t="str">
        <f>IF(AND('331-CT'!$F$5=TH!H2209,OR(N2209="331",O2209="331")),"x","")</f>
        <v/>
      </c>
      <c r="Q2209" s="47" t="str">
        <f>IF(AND(B2209='111'!$L$11,OR($N2209=$Q$7,$O2209=$Q$7)),"x","")</f>
        <v/>
      </c>
      <c r="R2209" s="47" t="str">
        <f>IF(AND($N2209=$Q$7,$B2209&lt;'111'!$L$11),"x","")</f>
        <v/>
      </c>
      <c r="S2209" s="47" t="str">
        <f>IF(AND($O2209=$Q$7,$B2209&lt;'111'!$L$11),"x","")</f>
        <v/>
      </c>
    </row>
    <row r="2210" spans="1:19" ht="15.75" customHeight="1">
      <c r="A2210" s="152" t="str">
        <f>IF(B2210&lt;&gt;"",IF(AND(B2210='IN-TC'!$S$4,OR(TH!N2210="1111",TH!O2210="1111")),TH!D2210,""),"")</f>
        <v/>
      </c>
      <c r="B2210" s="34">
        <f t="shared" si="86"/>
        <v>1</v>
      </c>
      <c r="C2210" s="35">
        <f t="shared" si="87"/>
        <v>0</v>
      </c>
      <c r="D2210" s="212"/>
      <c r="E2210" s="35"/>
      <c r="F2210" s="144"/>
      <c r="G2210" s="191"/>
      <c r="H2210" s="198"/>
      <c r="I2210" s="186"/>
      <c r="J2210" s="186"/>
      <c r="K2210" s="185"/>
      <c r="L2210" s="186"/>
      <c r="M2210" s="36">
        <f t="shared" si="88"/>
        <v>0</v>
      </c>
      <c r="N2210" s="37" t="s">
        <v>1443</v>
      </c>
      <c r="O2210" s="37" t="s">
        <v>8</v>
      </c>
      <c r="P2210" s="47" t="str">
        <f>IF(AND('331-CT'!$F$5=TH!H2210,OR(N2210="331",O2210="331")),"x","")</f>
        <v/>
      </c>
      <c r="Q2210" s="47" t="str">
        <f>IF(AND(B2210='111'!$L$11,OR($N2210=$Q$7,$O2210=$Q$7)),"x","")</f>
        <v/>
      </c>
      <c r="R2210" s="47" t="str">
        <f>IF(AND($N2210=$Q$7,$B2210&lt;'111'!$L$11),"x","")</f>
        <v/>
      </c>
      <c r="S2210" s="47" t="str">
        <f>IF(AND($O2210=$Q$7,$B2210&lt;'111'!$L$11),"x","")</f>
        <v/>
      </c>
    </row>
    <row r="2211" spans="1:19" ht="15.75" customHeight="1">
      <c r="A2211" s="152" t="str">
        <f>IF(B2211&lt;&gt;"",IF(AND(B2211='IN-TC'!$S$4,OR(TH!N2211="1111",TH!O2211="1111")),TH!D2211,""),"")</f>
        <v/>
      </c>
      <c r="B2211" s="34">
        <f t="shared" si="86"/>
        <v>1</v>
      </c>
      <c r="C2211" s="35">
        <f t="shared" si="87"/>
        <v>0</v>
      </c>
      <c r="D2211" s="212"/>
      <c r="E2211" s="35"/>
      <c r="F2211" s="144"/>
      <c r="G2211" s="191"/>
      <c r="H2211" s="198"/>
      <c r="I2211" s="186"/>
      <c r="J2211" s="186"/>
      <c r="K2211" s="185"/>
      <c r="L2211" s="186"/>
      <c r="M2211" s="36">
        <f t="shared" si="88"/>
        <v>0</v>
      </c>
      <c r="N2211" s="37" t="s">
        <v>1443</v>
      </c>
      <c r="O2211" s="37" t="s">
        <v>8</v>
      </c>
      <c r="P2211" s="47" t="str">
        <f>IF(AND('331-CT'!$F$5=TH!H2211,OR(N2211="331",O2211="331")),"x","")</f>
        <v/>
      </c>
      <c r="Q2211" s="47" t="str">
        <f>IF(AND(B2211='111'!$L$11,OR($N2211=$Q$7,$O2211=$Q$7)),"x","")</f>
        <v/>
      </c>
      <c r="R2211" s="47" t="str">
        <f>IF(AND($N2211=$Q$7,$B2211&lt;'111'!$L$11),"x","")</f>
        <v/>
      </c>
      <c r="S2211" s="47" t="str">
        <f>IF(AND($O2211=$Q$7,$B2211&lt;'111'!$L$11),"x","")</f>
        <v/>
      </c>
    </row>
    <row r="2212" spans="1:19" ht="15.75" customHeight="1">
      <c r="A2212" s="152" t="str">
        <f>IF(B2212&lt;&gt;"",IF(AND(B2212='IN-TC'!$S$4,OR(TH!N2212="1111",TH!O2212="1111")),TH!D2212,""),"")</f>
        <v/>
      </c>
      <c r="B2212" s="34">
        <f t="shared" si="86"/>
        <v>1</v>
      </c>
      <c r="C2212" s="35">
        <f t="shared" si="87"/>
        <v>0</v>
      </c>
      <c r="D2212" s="212"/>
      <c r="E2212" s="35"/>
      <c r="F2212" s="144"/>
      <c r="G2212" s="191"/>
      <c r="H2212" s="198"/>
      <c r="I2212" s="186"/>
      <c r="J2212" s="186"/>
      <c r="K2212" s="185"/>
      <c r="L2212" s="186"/>
      <c r="M2212" s="36">
        <f t="shared" si="88"/>
        <v>0</v>
      </c>
      <c r="N2212" s="37" t="s">
        <v>1443</v>
      </c>
      <c r="O2212" s="37" t="s">
        <v>8</v>
      </c>
      <c r="P2212" s="47" t="str">
        <f>IF(AND('331-CT'!$F$5=TH!H2212,OR(N2212="331",O2212="331")),"x","")</f>
        <v/>
      </c>
      <c r="Q2212" s="47" t="str">
        <f>IF(AND(B2212='111'!$L$11,OR($N2212=$Q$7,$O2212=$Q$7)),"x","")</f>
        <v/>
      </c>
      <c r="R2212" s="47" t="str">
        <f>IF(AND($N2212=$Q$7,$B2212&lt;'111'!$L$11),"x","")</f>
        <v/>
      </c>
      <c r="S2212" s="47" t="str">
        <f>IF(AND($O2212=$Q$7,$B2212&lt;'111'!$L$11),"x","")</f>
        <v/>
      </c>
    </row>
    <row r="2213" spans="1:19" ht="15.75" customHeight="1">
      <c r="A2213" s="152" t="str">
        <f>IF(B2213&lt;&gt;"",IF(AND(B2213='IN-TC'!$S$4,OR(TH!N2213="1111",TH!O2213="1111")),TH!D2213,""),"")</f>
        <v/>
      </c>
      <c r="B2213" s="34">
        <f t="shared" si="86"/>
        <v>1</v>
      </c>
      <c r="C2213" s="35">
        <f t="shared" si="87"/>
        <v>0</v>
      </c>
      <c r="D2213" s="212"/>
      <c r="E2213" s="35"/>
      <c r="F2213" s="144"/>
      <c r="G2213" s="191"/>
      <c r="H2213" s="198"/>
      <c r="I2213" s="186"/>
      <c r="J2213" s="186"/>
      <c r="K2213" s="185"/>
      <c r="L2213" s="186"/>
      <c r="M2213" s="36">
        <f t="shared" si="88"/>
        <v>0</v>
      </c>
      <c r="N2213" s="37" t="s">
        <v>1443</v>
      </c>
      <c r="O2213" s="37" t="s">
        <v>8</v>
      </c>
      <c r="P2213" s="47" t="str">
        <f>IF(AND('331-CT'!$F$5=TH!H2213,OR(N2213="331",O2213="331")),"x","")</f>
        <v/>
      </c>
      <c r="Q2213" s="47" t="str">
        <f>IF(AND(B2213='111'!$L$11,OR($N2213=$Q$7,$O2213=$Q$7)),"x","")</f>
        <v/>
      </c>
      <c r="R2213" s="47" t="str">
        <f>IF(AND($N2213=$Q$7,$B2213&lt;'111'!$L$11),"x","")</f>
        <v/>
      </c>
      <c r="S2213" s="47" t="str">
        <f>IF(AND($O2213=$Q$7,$B2213&lt;'111'!$L$11),"x","")</f>
        <v/>
      </c>
    </row>
    <row r="2214" spans="1:19" ht="15.75" customHeight="1">
      <c r="A2214" s="152" t="str">
        <f>IF(B2214&lt;&gt;"",IF(AND(B2214='IN-TC'!$S$4,OR(TH!N2214="1111",TH!O2214="1111")),TH!D2214,""),"")</f>
        <v/>
      </c>
      <c r="B2214" s="34">
        <f t="shared" si="86"/>
        <v>1</v>
      </c>
      <c r="C2214" s="35">
        <f t="shared" si="87"/>
        <v>0</v>
      </c>
      <c r="D2214" s="212"/>
      <c r="E2214" s="35"/>
      <c r="F2214" s="144"/>
      <c r="G2214" s="191"/>
      <c r="H2214" s="198"/>
      <c r="I2214" s="186"/>
      <c r="J2214" s="186"/>
      <c r="K2214" s="185"/>
      <c r="L2214" s="186"/>
      <c r="M2214" s="36">
        <f t="shared" si="88"/>
        <v>0</v>
      </c>
      <c r="N2214" s="37" t="s">
        <v>1443</v>
      </c>
      <c r="O2214" s="37" t="s">
        <v>8</v>
      </c>
      <c r="P2214" s="47" t="str">
        <f>IF(AND('331-CT'!$F$5=TH!H2214,OR(N2214="331",O2214="331")),"x","")</f>
        <v/>
      </c>
      <c r="Q2214" s="47" t="str">
        <f>IF(AND(B2214='111'!$L$11,OR($N2214=$Q$7,$O2214=$Q$7)),"x","")</f>
        <v/>
      </c>
      <c r="R2214" s="47" t="str">
        <f>IF(AND($N2214=$Q$7,$B2214&lt;'111'!$L$11),"x","")</f>
        <v/>
      </c>
      <c r="S2214" s="47" t="str">
        <f>IF(AND($O2214=$Q$7,$B2214&lt;'111'!$L$11),"x","")</f>
        <v/>
      </c>
    </row>
    <row r="2215" spans="1:19" ht="15.75" customHeight="1">
      <c r="A2215" s="152" t="str">
        <f>IF(B2215&lt;&gt;"",IF(AND(B2215='IN-TC'!$S$4,OR(TH!N2215="1111",TH!O2215="1111")),TH!D2215,""),"")</f>
        <v/>
      </c>
      <c r="B2215" s="34">
        <f t="shared" ref="B2215:B2278" si="89">IF(C2215&lt;&gt;"",MONTH(C2215),"")</f>
        <v>1</v>
      </c>
      <c r="C2215" s="35">
        <f t="shared" ref="C2215:C2278" si="90">E2215</f>
        <v>0</v>
      </c>
      <c r="D2215" s="212"/>
      <c r="E2215" s="35"/>
      <c r="F2215" s="144"/>
      <c r="G2215" s="191"/>
      <c r="H2215" s="198"/>
      <c r="I2215" s="186"/>
      <c r="J2215" s="186"/>
      <c r="K2215" s="185"/>
      <c r="L2215" s="186"/>
      <c r="M2215" s="36">
        <f t="shared" si="88"/>
        <v>0</v>
      </c>
      <c r="N2215" s="37" t="s">
        <v>1443</v>
      </c>
      <c r="O2215" s="37" t="s">
        <v>8</v>
      </c>
      <c r="P2215" s="47" t="str">
        <f>IF(AND('331-CT'!$F$5=TH!H2215,OR(N2215="331",O2215="331")),"x","")</f>
        <v/>
      </c>
      <c r="Q2215" s="47" t="str">
        <f>IF(AND(B2215='111'!$L$11,OR($N2215=$Q$7,$O2215=$Q$7)),"x","")</f>
        <v/>
      </c>
      <c r="R2215" s="47" t="str">
        <f>IF(AND($N2215=$Q$7,$B2215&lt;'111'!$L$11),"x","")</f>
        <v/>
      </c>
      <c r="S2215" s="47" t="str">
        <f>IF(AND($O2215=$Q$7,$B2215&lt;'111'!$L$11),"x","")</f>
        <v/>
      </c>
    </row>
    <row r="2216" spans="1:19" ht="15.75" customHeight="1">
      <c r="A2216" s="152" t="str">
        <f>IF(B2216&lt;&gt;"",IF(AND(B2216='IN-TC'!$S$4,OR(TH!N2216="1111",TH!O2216="1111")),TH!D2216,""),"")</f>
        <v/>
      </c>
      <c r="B2216" s="34">
        <f t="shared" si="89"/>
        <v>1</v>
      </c>
      <c r="C2216" s="35">
        <f t="shared" si="90"/>
        <v>0</v>
      </c>
      <c r="D2216" s="212"/>
      <c r="E2216" s="35"/>
      <c r="F2216" s="144"/>
      <c r="G2216" s="191"/>
      <c r="H2216" s="198"/>
      <c r="I2216" s="186"/>
      <c r="J2216" s="186"/>
      <c r="K2216" s="185"/>
      <c r="L2216" s="186"/>
      <c r="M2216" s="36">
        <f t="shared" si="88"/>
        <v>0</v>
      </c>
      <c r="N2216" s="37" t="s">
        <v>1443</v>
      </c>
      <c r="O2216" s="37" t="s">
        <v>8</v>
      </c>
      <c r="P2216" s="47" t="str">
        <f>IF(AND('331-CT'!$F$5=TH!H2216,OR(N2216="331",O2216="331")),"x","")</f>
        <v/>
      </c>
      <c r="Q2216" s="47" t="str">
        <f>IF(AND(B2216='111'!$L$11,OR($N2216=$Q$7,$O2216=$Q$7)),"x","")</f>
        <v/>
      </c>
      <c r="R2216" s="47" t="str">
        <f>IF(AND($N2216=$Q$7,$B2216&lt;'111'!$L$11),"x","")</f>
        <v/>
      </c>
      <c r="S2216" s="47" t="str">
        <f>IF(AND($O2216=$Q$7,$B2216&lt;'111'!$L$11),"x","")</f>
        <v/>
      </c>
    </row>
    <row r="2217" spans="1:19" ht="15.75" customHeight="1">
      <c r="A2217" s="152" t="str">
        <f>IF(B2217&lt;&gt;"",IF(AND(B2217='IN-TC'!$S$4,OR(TH!N2217="1111",TH!O2217="1111")),TH!D2217,""),"")</f>
        <v/>
      </c>
      <c r="B2217" s="34">
        <f t="shared" si="89"/>
        <v>1</v>
      </c>
      <c r="C2217" s="35">
        <f t="shared" si="90"/>
        <v>0</v>
      </c>
      <c r="D2217" s="212"/>
      <c r="E2217" s="35"/>
      <c r="F2217" s="144"/>
      <c r="G2217" s="191"/>
      <c r="H2217" s="198"/>
      <c r="I2217" s="186"/>
      <c r="J2217" s="186"/>
      <c r="K2217" s="185"/>
      <c r="L2217" s="186"/>
      <c r="M2217" s="36">
        <f t="shared" si="88"/>
        <v>0</v>
      </c>
      <c r="N2217" s="37" t="s">
        <v>1443</v>
      </c>
      <c r="O2217" s="37" t="s">
        <v>8</v>
      </c>
      <c r="P2217" s="47" t="str">
        <f>IF(AND('331-CT'!$F$5=TH!H2217,OR(N2217="331",O2217="331")),"x","")</f>
        <v/>
      </c>
      <c r="Q2217" s="47" t="str">
        <f>IF(AND(B2217='111'!$L$11,OR($N2217=$Q$7,$O2217=$Q$7)),"x","")</f>
        <v/>
      </c>
      <c r="R2217" s="47" t="str">
        <f>IF(AND($N2217=$Q$7,$B2217&lt;'111'!$L$11),"x","")</f>
        <v/>
      </c>
      <c r="S2217" s="47" t="str">
        <f>IF(AND($O2217=$Q$7,$B2217&lt;'111'!$L$11),"x","")</f>
        <v/>
      </c>
    </row>
    <row r="2218" spans="1:19" ht="15.75" customHeight="1">
      <c r="A2218" s="152" t="str">
        <f>IF(B2218&lt;&gt;"",IF(AND(B2218='IN-TC'!$S$4,OR(TH!N2218="1111",TH!O2218="1111")),TH!D2218,""),"")</f>
        <v/>
      </c>
      <c r="B2218" s="34">
        <f t="shared" si="89"/>
        <v>1</v>
      </c>
      <c r="C2218" s="35">
        <f t="shared" si="90"/>
        <v>0</v>
      </c>
      <c r="D2218" s="212"/>
      <c r="E2218" s="35"/>
      <c r="F2218" s="144"/>
      <c r="G2218" s="191"/>
      <c r="H2218" s="198"/>
      <c r="I2218" s="186"/>
      <c r="J2218" s="186"/>
      <c r="K2218" s="185"/>
      <c r="L2218" s="186"/>
      <c r="M2218" s="36">
        <f t="shared" si="88"/>
        <v>0</v>
      </c>
      <c r="N2218" s="37" t="s">
        <v>1443</v>
      </c>
      <c r="O2218" s="37" t="s">
        <v>8</v>
      </c>
      <c r="P2218" s="47" t="str">
        <f>IF(AND('331-CT'!$F$5=TH!H2218,OR(N2218="331",O2218="331")),"x","")</f>
        <v/>
      </c>
      <c r="Q2218" s="47" t="str">
        <f>IF(AND(B2218='111'!$L$11,OR($N2218=$Q$7,$O2218=$Q$7)),"x","")</f>
        <v/>
      </c>
      <c r="R2218" s="47" t="str">
        <f>IF(AND($N2218=$Q$7,$B2218&lt;'111'!$L$11),"x","")</f>
        <v/>
      </c>
      <c r="S2218" s="47" t="str">
        <f>IF(AND($O2218=$Q$7,$B2218&lt;'111'!$L$11),"x","")</f>
        <v/>
      </c>
    </row>
    <row r="2219" spans="1:19" ht="15.75" customHeight="1">
      <c r="A2219" s="152" t="str">
        <f>IF(B2219&lt;&gt;"",IF(AND(B2219='IN-TC'!$S$4,OR(TH!N2219="1111",TH!O2219="1111")),TH!D2219,""),"")</f>
        <v/>
      </c>
      <c r="B2219" s="34">
        <f t="shared" si="89"/>
        <v>1</v>
      </c>
      <c r="C2219" s="35">
        <f t="shared" si="90"/>
        <v>0</v>
      </c>
      <c r="D2219" s="212"/>
      <c r="E2219" s="35"/>
      <c r="F2219" s="144"/>
      <c r="G2219" s="191"/>
      <c r="H2219" s="198"/>
      <c r="I2219" s="186"/>
      <c r="J2219" s="186"/>
      <c r="K2219" s="185"/>
      <c r="L2219" s="186"/>
      <c r="M2219" s="36">
        <f t="shared" si="88"/>
        <v>0</v>
      </c>
      <c r="N2219" s="37" t="s">
        <v>1443</v>
      </c>
      <c r="O2219" s="37" t="s">
        <v>8</v>
      </c>
      <c r="P2219" s="47" t="str">
        <f>IF(AND('331-CT'!$F$5=TH!H2219,OR(N2219="331",O2219="331")),"x","")</f>
        <v/>
      </c>
      <c r="Q2219" s="47" t="str">
        <f>IF(AND(B2219='111'!$L$11,OR($N2219=$Q$7,$O2219=$Q$7)),"x","")</f>
        <v/>
      </c>
      <c r="R2219" s="47" t="str">
        <f>IF(AND($N2219=$Q$7,$B2219&lt;'111'!$L$11),"x","")</f>
        <v/>
      </c>
      <c r="S2219" s="47" t="str">
        <f>IF(AND($O2219=$Q$7,$B2219&lt;'111'!$L$11),"x","")</f>
        <v/>
      </c>
    </row>
    <row r="2220" spans="1:19" ht="15.75" customHeight="1">
      <c r="A2220" s="152" t="str">
        <f>IF(B2220&lt;&gt;"",IF(AND(B2220='IN-TC'!$S$4,OR(TH!N2220="1111",TH!O2220="1111")),TH!D2220,""),"")</f>
        <v/>
      </c>
      <c r="B2220" s="34">
        <f t="shared" si="89"/>
        <v>1</v>
      </c>
      <c r="C2220" s="35">
        <f t="shared" si="90"/>
        <v>0</v>
      </c>
      <c r="D2220" s="212"/>
      <c r="E2220" s="35"/>
      <c r="F2220" s="144"/>
      <c r="G2220" s="191"/>
      <c r="H2220" s="198"/>
      <c r="I2220" s="186"/>
      <c r="J2220" s="186"/>
      <c r="K2220" s="185"/>
      <c r="L2220" s="186"/>
      <c r="M2220" s="36">
        <f t="shared" si="88"/>
        <v>0</v>
      </c>
      <c r="N2220" s="37" t="s">
        <v>1443</v>
      </c>
      <c r="O2220" s="37" t="s">
        <v>8</v>
      </c>
      <c r="P2220" s="47" t="str">
        <f>IF(AND('331-CT'!$F$5=TH!H2220,OR(N2220="331",O2220="331")),"x","")</f>
        <v/>
      </c>
      <c r="Q2220" s="47" t="str">
        <f>IF(AND(B2220='111'!$L$11,OR($N2220=$Q$7,$O2220=$Q$7)),"x","")</f>
        <v/>
      </c>
      <c r="R2220" s="47" t="str">
        <f>IF(AND($N2220=$Q$7,$B2220&lt;'111'!$L$11),"x","")</f>
        <v/>
      </c>
      <c r="S2220" s="47" t="str">
        <f>IF(AND($O2220=$Q$7,$B2220&lt;'111'!$L$11),"x","")</f>
        <v/>
      </c>
    </row>
    <row r="2221" spans="1:19" ht="15.75" customHeight="1">
      <c r="A2221" s="152" t="str">
        <f>IF(B2221&lt;&gt;"",IF(AND(B2221='IN-TC'!$S$4,OR(TH!N2221="1111",TH!O2221="1111")),TH!D2221,""),"")</f>
        <v/>
      </c>
      <c r="B2221" s="34">
        <f t="shared" si="89"/>
        <v>1</v>
      </c>
      <c r="C2221" s="35">
        <f t="shared" si="90"/>
        <v>0</v>
      </c>
      <c r="D2221" s="212"/>
      <c r="E2221" s="35"/>
      <c r="F2221" s="144"/>
      <c r="G2221" s="191"/>
      <c r="H2221" s="198"/>
      <c r="I2221" s="186"/>
      <c r="J2221" s="186"/>
      <c r="K2221" s="185"/>
      <c r="L2221" s="186"/>
      <c r="M2221" s="36">
        <f t="shared" si="88"/>
        <v>0</v>
      </c>
      <c r="N2221" s="37" t="s">
        <v>1443</v>
      </c>
      <c r="O2221" s="37" t="s">
        <v>8</v>
      </c>
      <c r="P2221" s="47" t="str">
        <f>IF(AND('331-CT'!$F$5=TH!H2221,OR(N2221="331",O2221="331")),"x","")</f>
        <v/>
      </c>
      <c r="Q2221" s="47" t="str">
        <f>IF(AND(B2221='111'!$L$11,OR($N2221=$Q$7,$O2221=$Q$7)),"x","")</f>
        <v/>
      </c>
      <c r="R2221" s="47" t="str">
        <f>IF(AND($N2221=$Q$7,$B2221&lt;'111'!$L$11),"x","")</f>
        <v/>
      </c>
      <c r="S2221" s="47" t="str">
        <f>IF(AND($O2221=$Q$7,$B2221&lt;'111'!$L$11),"x","")</f>
        <v/>
      </c>
    </row>
    <row r="2222" spans="1:19" ht="15.75" customHeight="1">
      <c r="A2222" s="152" t="str">
        <f>IF(B2222&lt;&gt;"",IF(AND(B2222='IN-TC'!$S$4,OR(TH!N2222="1111",TH!O2222="1111")),TH!D2222,""),"")</f>
        <v/>
      </c>
      <c r="B2222" s="34">
        <f t="shared" si="89"/>
        <v>1</v>
      </c>
      <c r="C2222" s="35">
        <f t="shared" si="90"/>
        <v>0</v>
      </c>
      <c r="D2222" s="212"/>
      <c r="E2222" s="35"/>
      <c r="F2222" s="144"/>
      <c r="G2222" s="191"/>
      <c r="H2222" s="198"/>
      <c r="I2222" s="186"/>
      <c r="J2222" s="186"/>
      <c r="K2222" s="185"/>
      <c r="L2222" s="186"/>
      <c r="M2222" s="36">
        <f t="shared" si="88"/>
        <v>0</v>
      </c>
      <c r="N2222" s="37" t="s">
        <v>1443</v>
      </c>
      <c r="O2222" s="37" t="s">
        <v>8</v>
      </c>
      <c r="P2222" s="47" t="str">
        <f>IF(AND('331-CT'!$F$5=TH!H2222,OR(N2222="331",O2222="331")),"x","")</f>
        <v/>
      </c>
      <c r="Q2222" s="47" t="str">
        <f>IF(AND(B2222='111'!$L$11,OR($N2222=$Q$7,$O2222=$Q$7)),"x","")</f>
        <v/>
      </c>
      <c r="R2222" s="47" t="str">
        <f>IF(AND($N2222=$Q$7,$B2222&lt;'111'!$L$11),"x","")</f>
        <v/>
      </c>
      <c r="S2222" s="47" t="str">
        <f>IF(AND($O2222=$Q$7,$B2222&lt;'111'!$L$11),"x","")</f>
        <v/>
      </c>
    </row>
    <row r="2223" spans="1:19" ht="15.75" customHeight="1">
      <c r="A2223" s="152" t="str">
        <f>IF(B2223&lt;&gt;"",IF(AND(B2223='IN-TC'!$S$4,OR(TH!N2223="1111",TH!O2223="1111")),TH!D2223,""),"")</f>
        <v/>
      </c>
      <c r="B2223" s="34">
        <f t="shared" si="89"/>
        <v>1</v>
      </c>
      <c r="C2223" s="35">
        <f t="shared" si="90"/>
        <v>0</v>
      </c>
      <c r="D2223" s="212"/>
      <c r="E2223" s="35"/>
      <c r="F2223" s="144"/>
      <c r="G2223" s="191"/>
      <c r="H2223" s="198"/>
      <c r="I2223" s="186"/>
      <c r="J2223" s="186"/>
      <c r="K2223" s="185"/>
      <c r="L2223" s="186"/>
      <c r="M2223" s="36">
        <f t="shared" si="88"/>
        <v>0</v>
      </c>
      <c r="N2223" s="37" t="s">
        <v>1443</v>
      </c>
      <c r="O2223" s="37" t="s">
        <v>8</v>
      </c>
      <c r="P2223" s="47" t="str">
        <f>IF(AND('331-CT'!$F$5=TH!H2223,OR(N2223="331",O2223="331")),"x","")</f>
        <v/>
      </c>
      <c r="Q2223" s="47" t="str">
        <f>IF(AND(B2223='111'!$L$11,OR($N2223=$Q$7,$O2223=$Q$7)),"x","")</f>
        <v/>
      </c>
      <c r="R2223" s="47" t="str">
        <f>IF(AND($N2223=$Q$7,$B2223&lt;'111'!$L$11),"x","")</f>
        <v/>
      </c>
      <c r="S2223" s="47" t="str">
        <f>IF(AND($O2223=$Q$7,$B2223&lt;'111'!$L$11),"x","")</f>
        <v/>
      </c>
    </row>
    <row r="2224" spans="1:19" ht="15.75" customHeight="1">
      <c r="A2224" s="152" t="str">
        <f>IF(B2224&lt;&gt;"",IF(AND(B2224='IN-TC'!$S$4,OR(TH!N2224="1111",TH!O2224="1111")),TH!D2224,""),"")</f>
        <v/>
      </c>
      <c r="B2224" s="34">
        <f t="shared" si="89"/>
        <v>1</v>
      </c>
      <c r="C2224" s="35">
        <f t="shared" si="90"/>
        <v>0</v>
      </c>
      <c r="D2224" s="212"/>
      <c r="E2224" s="35"/>
      <c r="F2224" s="144"/>
      <c r="G2224" s="191"/>
      <c r="H2224" s="198"/>
      <c r="I2224" s="186"/>
      <c r="J2224" s="186"/>
      <c r="K2224" s="185"/>
      <c r="L2224" s="186"/>
      <c r="M2224" s="36">
        <f t="shared" si="88"/>
        <v>0</v>
      </c>
      <c r="N2224" s="37" t="s">
        <v>1443</v>
      </c>
      <c r="O2224" s="37" t="s">
        <v>8</v>
      </c>
      <c r="P2224" s="47" t="str">
        <f>IF(AND('331-CT'!$F$5=TH!H2224,OR(N2224="331",O2224="331")),"x","")</f>
        <v/>
      </c>
      <c r="Q2224" s="47" t="str">
        <f>IF(AND(B2224='111'!$L$11,OR($N2224=$Q$7,$O2224=$Q$7)),"x","")</f>
        <v/>
      </c>
      <c r="R2224" s="47" t="str">
        <f>IF(AND($N2224=$Q$7,$B2224&lt;'111'!$L$11),"x","")</f>
        <v/>
      </c>
      <c r="S2224" s="47" t="str">
        <f>IF(AND($O2224=$Q$7,$B2224&lt;'111'!$L$11),"x","")</f>
        <v/>
      </c>
    </row>
    <row r="2225" spans="1:19" ht="15.75" customHeight="1">
      <c r="A2225" s="152" t="str">
        <f>IF(B2225&lt;&gt;"",IF(AND(B2225='IN-TC'!$S$4,OR(TH!N2225="1111",TH!O2225="1111")),TH!D2225,""),"")</f>
        <v/>
      </c>
      <c r="B2225" s="34">
        <f t="shared" si="89"/>
        <v>1</v>
      </c>
      <c r="C2225" s="35">
        <f t="shared" si="90"/>
        <v>0</v>
      </c>
      <c r="D2225" s="212"/>
      <c r="E2225" s="35"/>
      <c r="F2225" s="144"/>
      <c r="G2225" s="191"/>
      <c r="H2225" s="198"/>
      <c r="I2225" s="186"/>
      <c r="J2225" s="186"/>
      <c r="K2225" s="185"/>
      <c r="L2225" s="186"/>
      <c r="M2225" s="36">
        <f t="shared" si="88"/>
        <v>0</v>
      </c>
      <c r="N2225" s="37" t="s">
        <v>1443</v>
      </c>
      <c r="O2225" s="37" t="s">
        <v>8</v>
      </c>
      <c r="P2225" s="47" t="str">
        <f>IF(AND('331-CT'!$F$5=TH!H2225,OR(N2225="331",O2225="331")),"x","")</f>
        <v/>
      </c>
      <c r="Q2225" s="47" t="str">
        <f>IF(AND(B2225='111'!$L$11,OR($N2225=$Q$7,$O2225=$Q$7)),"x","")</f>
        <v/>
      </c>
      <c r="R2225" s="47" t="str">
        <f>IF(AND($N2225=$Q$7,$B2225&lt;'111'!$L$11),"x","")</f>
        <v/>
      </c>
      <c r="S2225" s="47" t="str">
        <f>IF(AND($O2225=$Q$7,$B2225&lt;'111'!$L$11),"x","")</f>
        <v/>
      </c>
    </row>
    <row r="2226" spans="1:19" ht="15.75" customHeight="1">
      <c r="A2226" s="152" t="str">
        <f>IF(B2226&lt;&gt;"",IF(AND(B2226='IN-TC'!$S$4,OR(TH!N2226="1111",TH!O2226="1111")),TH!D2226,""),"")</f>
        <v/>
      </c>
      <c r="B2226" s="34">
        <f t="shared" si="89"/>
        <v>1</v>
      </c>
      <c r="C2226" s="35">
        <f t="shared" si="90"/>
        <v>0</v>
      </c>
      <c r="D2226" s="212"/>
      <c r="E2226" s="35"/>
      <c r="F2226" s="144"/>
      <c r="G2226" s="191"/>
      <c r="H2226" s="198"/>
      <c r="I2226" s="186"/>
      <c r="J2226" s="186"/>
      <c r="K2226" s="185"/>
      <c r="L2226" s="186"/>
      <c r="M2226" s="36">
        <f t="shared" si="88"/>
        <v>0</v>
      </c>
      <c r="N2226" s="37" t="s">
        <v>1443</v>
      </c>
      <c r="O2226" s="37" t="s">
        <v>8</v>
      </c>
      <c r="P2226" s="47" t="str">
        <f>IF(AND('331-CT'!$F$5=TH!H2226,OR(N2226="331",O2226="331")),"x","")</f>
        <v/>
      </c>
      <c r="Q2226" s="47" t="str">
        <f>IF(AND(B2226='111'!$L$11,OR($N2226=$Q$7,$O2226=$Q$7)),"x","")</f>
        <v/>
      </c>
      <c r="R2226" s="47" t="str">
        <f>IF(AND($N2226=$Q$7,$B2226&lt;'111'!$L$11),"x","")</f>
        <v/>
      </c>
      <c r="S2226" s="47" t="str">
        <f>IF(AND($O2226=$Q$7,$B2226&lt;'111'!$L$11),"x","")</f>
        <v/>
      </c>
    </row>
    <row r="2227" spans="1:19" ht="15.75" customHeight="1">
      <c r="A2227" s="152" t="str">
        <f>IF(B2227&lt;&gt;"",IF(AND(B2227='IN-TC'!$S$4,OR(TH!N2227="1111",TH!O2227="1111")),TH!D2227,""),"")</f>
        <v/>
      </c>
      <c r="B2227" s="34">
        <f t="shared" si="89"/>
        <v>1</v>
      </c>
      <c r="C2227" s="35">
        <f t="shared" si="90"/>
        <v>0</v>
      </c>
      <c r="D2227" s="212"/>
      <c r="E2227" s="35"/>
      <c r="F2227" s="144"/>
      <c r="G2227" s="191"/>
      <c r="H2227" s="198"/>
      <c r="I2227" s="186"/>
      <c r="J2227" s="186"/>
      <c r="K2227" s="185"/>
      <c r="L2227" s="186"/>
      <c r="M2227" s="36">
        <f t="shared" si="88"/>
        <v>0</v>
      </c>
      <c r="N2227" s="37" t="s">
        <v>1443</v>
      </c>
      <c r="O2227" s="37" t="s">
        <v>8</v>
      </c>
      <c r="P2227" s="47" t="str">
        <f>IF(AND('331-CT'!$F$5=TH!H2227,OR(N2227="331",O2227="331")),"x","")</f>
        <v/>
      </c>
      <c r="Q2227" s="47" t="str">
        <f>IF(AND(B2227='111'!$L$11,OR($N2227=$Q$7,$O2227=$Q$7)),"x","")</f>
        <v/>
      </c>
      <c r="R2227" s="47" t="str">
        <f>IF(AND($N2227=$Q$7,$B2227&lt;'111'!$L$11),"x","")</f>
        <v/>
      </c>
      <c r="S2227" s="47" t="str">
        <f>IF(AND($O2227=$Q$7,$B2227&lt;'111'!$L$11),"x","")</f>
        <v/>
      </c>
    </row>
    <row r="2228" spans="1:19" ht="15.75" customHeight="1">
      <c r="A2228" s="152" t="str">
        <f>IF(B2228&lt;&gt;"",IF(AND(B2228='IN-TC'!$S$4,OR(TH!N2228="1111",TH!O2228="1111")),TH!D2228,""),"")</f>
        <v/>
      </c>
      <c r="B2228" s="34">
        <f t="shared" si="89"/>
        <v>1</v>
      </c>
      <c r="C2228" s="35">
        <f t="shared" si="90"/>
        <v>0</v>
      </c>
      <c r="D2228" s="212"/>
      <c r="E2228" s="35"/>
      <c r="F2228" s="144"/>
      <c r="G2228" s="191"/>
      <c r="H2228" s="198"/>
      <c r="I2228" s="186"/>
      <c r="J2228" s="186"/>
      <c r="K2228" s="185"/>
      <c r="L2228" s="186"/>
      <c r="M2228" s="36">
        <f t="shared" si="88"/>
        <v>0</v>
      </c>
      <c r="N2228" s="37" t="s">
        <v>1443</v>
      </c>
      <c r="O2228" s="37" t="s">
        <v>8</v>
      </c>
      <c r="P2228" s="47" t="str">
        <f>IF(AND('331-CT'!$F$5=TH!H2228,OR(N2228="331",O2228="331")),"x","")</f>
        <v/>
      </c>
      <c r="Q2228" s="47" t="str">
        <f>IF(AND(B2228='111'!$L$11,OR($N2228=$Q$7,$O2228=$Q$7)),"x","")</f>
        <v/>
      </c>
      <c r="R2228" s="47" t="str">
        <f>IF(AND($N2228=$Q$7,$B2228&lt;'111'!$L$11),"x","")</f>
        <v/>
      </c>
      <c r="S2228" s="47" t="str">
        <f>IF(AND($O2228=$Q$7,$B2228&lt;'111'!$L$11),"x","")</f>
        <v/>
      </c>
    </row>
    <row r="2229" spans="1:19" ht="15.75" customHeight="1">
      <c r="A2229" s="152" t="str">
        <f>IF(B2229&lt;&gt;"",IF(AND(B2229='IN-TC'!$S$4,OR(TH!N2229="1111",TH!O2229="1111")),TH!D2229,""),"")</f>
        <v/>
      </c>
      <c r="B2229" s="34">
        <f t="shared" si="89"/>
        <v>1</v>
      </c>
      <c r="C2229" s="35">
        <f t="shared" si="90"/>
        <v>0</v>
      </c>
      <c r="D2229" s="212"/>
      <c r="E2229" s="35"/>
      <c r="F2229" s="144"/>
      <c r="G2229" s="191"/>
      <c r="H2229" s="198"/>
      <c r="I2229" s="186"/>
      <c r="J2229" s="186"/>
      <c r="K2229" s="185"/>
      <c r="L2229" s="186"/>
      <c r="M2229" s="36">
        <f t="shared" si="88"/>
        <v>0</v>
      </c>
      <c r="N2229" s="37" t="s">
        <v>1443</v>
      </c>
      <c r="O2229" s="37" t="s">
        <v>8</v>
      </c>
      <c r="P2229" s="47" t="str">
        <f>IF(AND('331-CT'!$F$5=TH!H2229,OR(N2229="331",O2229="331")),"x","")</f>
        <v/>
      </c>
      <c r="Q2229" s="47" t="str">
        <f>IF(AND(B2229='111'!$L$11,OR($N2229=$Q$7,$O2229=$Q$7)),"x","")</f>
        <v/>
      </c>
      <c r="R2229" s="47" t="str">
        <f>IF(AND($N2229=$Q$7,$B2229&lt;'111'!$L$11),"x","")</f>
        <v/>
      </c>
      <c r="S2229" s="47" t="str">
        <f>IF(AND($O2229=$Q$7,$B2229&lt;'111'!$L$11),"x","")</f>
        <v/>
      </c>
    </row>
    <row r="2230" spans="1:19" ht="15.75" customHeight="1">
      <c r="A2230" s="152" t="str">
        <f>IF(B2230&lt;&gt;"",IF(AND(B2230='IN-TC'!$S$4,OR(TH!N2230="1111",TH!O2230="1111")),TH!D2230,""),"")</f>
        <v/>
      </c>
      <c r="B2230" s="34">
        <f t="shared" si="89"/>
        <v>1</v>
      </c>
      <c r="C2230" s="35">
        <f t="shared" si="90"/>
        <v>0</v>
      </c>
      <c r="D2230" s="212"/>
      <c r="E2230" s="35"/>
      <c r="F2230" s="144"/>
      <c r="G2230" s="191"/>
      <c r="H2230" s="198"/>
      <c r="I2230" s="186"/>
      <c r="J2230" s="186"/>
      <c r="K2230" s="185"/>
      <c r="L2230" s="186"/>
      <c r="M2230" s="36">
        <f t="shared" si="88"/>
        <v>0</v>
      </c>
      <c r="N2230" s="37" t="s">
        <v>1443</v>
      </c>
      <c r="O2230" s="37" t="s">
        <v>8</v>
      </c>
      <c r="P2230" s="47" t="str">
        <f>IF(AND('331-CT'!$F$5=TH!H2230,OR(N2230="331",O2230="331")),"x","")</f>
        <v/>
      </c>
      <c r="Q2230" s="47" t="str">
        <f>IF(AND(B2230='111'!$L$11,OR($N2230=$Q$7,$O2230=$Q$7)),"x","")</f>
        <v/>
      </c>
      <c r="R2230" s="47" t="str">
        <f>IF(AND($N2230=$Q$7,$B2230&lt;'111'!$L$11),"x","")</f>
        <v/>
      </c>
      <c r="S2230" s="47" t="str">
        <f>IF(AND($O2230=$Q$7,$B2230&lt;'111'!$L$11),"x","")</f>
        <v/>
      </c>
    </row>
    <row r="2231" spans="1:19" ht="15.75" customHeight="1">
      <c r="A2231" s="152" t="str">
        <f>IF(B2231&lt;&gt;"",IF(AND(B2231='IN-TC'!$S$4,OR(TH!N2231="1111",TH!O2231="1111")),TH!D2231,""),"")</f>
        <v/>
      </c>
      <c r="B2231" s="34">
        <f t="shared" si="89"/>
        <v>1</v>
      </c>
      <c r="C2231" s="35">
        <f t="shared" si="90"/>
        <v>0</v>
      </c>
      <c r="D2231" s="212"/>
      <c r="E2231" s="35"/>
      <c r="F2231" s="144"/>
      <c r="G2231" s="191"/>
      <c r="H2231" s="198"/>
      <c r="I2231" s="186"/>
      <c r="J2231" s="186"/>
      <c r="K2231" s="185"/>
      <c r="L2231" s="186"/>
      <c r="M2231" s="36">
        <f t="shared" si="88"/>
        <v>0</v>
      </c>
      <c r="N2231" s="37" t="s">
        <v>1443</v>
      </c>
      <c r="O2231" s="37" t="s">
        <v>8</v>
      </c>
      <c r="P2231" s="47" t="str">
        <f>IF(AND('331-CT'!$F$5=TH!H2231,OR(N2231="331",O2231="331")),"x","")</f>
        <v/>
      </c>
      <c r="Q2231" s="47" t="str">
        <f>IF(AND(B2231='111'!$L$11,OR($N2231=$Q$7,$O2231=$Q$7)),"x","")</f>
        <v/>
      </c>
      <c r="R2231" s="47" t="str">
        <f>IF(AND($N2231=$Q$7,$B2231&lt;'111'!$L$11),"x","")</f>
        <v/>
      </c>
      <c r="S2231" s="47" t="str">
        <f>IF(AND($O2231=$Q$7,$B2231&lt;'111'!$L$11),"x","")</f>
        <v/>
      </c>
    </row>
    <row r="2232" spans="1:19" ht="15.75" customHeight="1">
      <c r="A2232" s="152" t="str">
        <f>IF(B2232&lt;&gt;"",IF(AND(B2232='IN-TC'!$S$4,OR(TH!N2232="1111",TH!O2232="1111")),TH!D2232,""),"")</f>
        <v/>
      </c>
      <c r="B2232" s="34">
        <f t="shared" si="89"/>
        <v>1</v>
      </c>
      <c r="C2232" s="35">
        <f t="shared" si="90"/>
        <v>0</v>
      </c>
      <c r="D2232" s="212"/>
      <c r="E2232" s="35"/>
      <c r="F2232" s="144"/>
      <c r="G2232" s="191"/>
      <c r="H2232" s="198"/>
      <c r="I2232" s="186"/>
      <c r="J2232" s="186"/>
      <c r="K2232" s="185"/>
      <c r="L2232" s="186"/>
      <c r="M2232" s="36">
        <f t="shared" si="88"/>
        <v>0</v>
      </c>
      <c r="N2232" s="37" t="s">
        <v>1443</v>
      </c>
      <c r="O2232" s="37" t="s">
        <v>8</v>
      </c>
      <c r="P2232" s="47" t="str">
        <f>IF(AND('331-CT'!$F$5=TH!H2232,OR(N2232="331",O2232="331")),"x","")</f>
        <v/>
      </c>
      <c r="Q2232" s="47" t="str">
        <f>IF(AND(B2232='111'!$L$11,OR($N2232=$Q$7,$O2232=$Q$7)),"x","")</f>
        <v/>
      </c>
      <c r="R2232" s="47" t="str">
        <f>IF(AND($N2232=$Q$7,$B2232&lt;'111'!$L$11),"x","")</f>
        <v/>
      </c>
      <c r="S2232" s="47" t="str">
        <f>IF(AND($O2232=$Q$7,$B2232&lt;'111'!$L$11),"x","")</f>
        <v/>
      </c>
    </row>
    <row r="2233" spans="1:19" ht="15.75" customHeight="1">
      <c r="A2233" s="152" t="str">
        <f>IF(B2233&lt;&gt;"",IF(AND(B2233='IN-TC'!$S$4,OR(TH!N2233="1111",TH!O2233="1111")),TH!D2233,""),"")</f>
        <v/>
      </c>
      <c r="B2233" s="34">
        <f t="shared" si="89"/>
        <v>1</v>
      </c>
      <c r="C2233" s="35">
        <f t="shared" si="90"/>
        <v>0</v>
      </c>
      <c r="D2233" s="212"/>
      <c r="E2233" s="35"/>
      <c r="F2233" s="144"/>
      <c r="G2233" s="191"/>
      <c r="H2233" s="198"/>
      <c r="I2233" s="186"/>
      <c r="J2233" s="186"/>
      <c r="K2233" s="185"/>
      <c r="L2233" s="186"/>
      <c r="M2233" s="36">
        <f t="shared" si="88"/>
        <v>0</v>
      </c>
      <c r="N2233" s="37" t="s">
        <v>1443</v>
      </c>
      <c r="O2233" s="37" t="s">
        <v>8</v>
      </c>
      <c r="P2233" s="47" t="str">
        <f>IF(AND('331-CT'!$F$5=TH!H2233,OR(N2233="331",O2233="331")),"x","")</f>
        <v/>
      </c>
      <c r="Q2233" s="47" t="str">
        <f>IF(AND(B2233='111'!$L$11,OR($N2233=$Q$7,$O2233=$Q$7)),"x","")</f>
        <v/>
      </c>
      <c r="R2233" s="47" t="str">
        <f>IF(AND($N2233=$Q$7,$B2233&lt;'111'!$L$11),"x","")</f>
        <v/>
      </c>
      <c r="S2233" s="47" t="str">
        <f>IF(AND($O2233=$Q$7,$B2233&lt;'111'!$L$11),"x","")</f>
        <v/>
      </c>
    </row>
    <row r="2234" spans="1:19" ht="15.75" customHeight="1">
      <c r="A2234" s="152" t="str">
        <f>IF(B2234&lt;&gt;"",IF(AND(B2234='IN-TC'!$S$4,OR(TH!N2234="1111",TH!O2234="1111")),TH!D2234,""),"")</f>
        <v/>
      </c>
      <c r="B2234" s="34">
        <f t="shared" si="89"/>
        <v>1</v>
      </c>
      <c r="C2234" s="35">
        <f t="shared" si="90"/>
        <v>0</v>
      </c>
      <c r="D2234" s="212"/>
      <c r="E2234" s="35"/>
      <c r="F2234" s="144"/>
      <c r="G2234" s="191"/>
      <c r="H2234" s="198"/>
      <c r="I2234" s="186"/>
      <c r="J2234" s="186"/>
      <c r="K2234" s="185"/>
      <c r="L2234" s="186"/>
      <c r="M2234" s="36">
        <f t="shared" si="88"/>
        <v>0</v>
      </c>
      <c r="N2234" s="37" t="s">
        <v>1443</v>
      </c>
      <c r="O2234" s="37" t="s">
        <v>8</v>
      </c>
      <c r="P2234" s="47" t="str">
        <f>IF(AND('331-CT'!$F$5=TH!H2234,OR(N2234="331",O2234="331")),"x","")</f>
        <v/>
      </c>
      <c r="Q2234" s="47" t="str">
        <f>IF(AND(B2234='111'!$L$11,OR($N2234=$Q$7,$O2234=$Q$7)),"x","")</f>
        <v/>
      </c>
      <c r="R2234" s="47" t="str">
        <f>IF(AND($N2234=$Q$7,$B2234&lt;'111'!$L$11),"x","")</f>
        <v/>
      </c>
      <c r="S2234" s="47" t="str">
        <f>IF(AND($O2234=$Q$7,$B2234&lt;'111'!$L$11),"x","")</f>
        <v/>
      </c>
    </row>
    <row r="2235" spans="1:19" ht="15.75" customHeight="1">
      <c r="A2235" s="152" t="str">
        <f>IF(B2235&lt;&gt;"",IF(AND(B2235='IN-TC'!$S$4,OR(TH!N2235="1111",TH!O2235="1111")),TH!D2235,""),"")</f>
        <v/>
      </c>
      <c r="B2235" s="34">
        <f t="shared" si="89"/>
        <v>1</v>
      </c>
      <c r="C2235" s="35">
        <f t="shared" si="90"/>
        <v>0</v>
      </c>
      <c r="D2235" s="212"/>
      <c r="E2235" s="35"/>
      <c r="F2235" s="144"/>
      <c r="G2235" s="191"/>
      <c r="H2235" s="198"/>
      <c r="I2235" s="186"/>
      <c r="J2235" s="186"/>
      <c r="K2235" s="185"/>
      <c r="L2235" s="186"/>
      <c r="M2235" s="36">
        <f t="shared" si="88"/>
        <v>0</v>
      </c>
      <c r="N2235" s="37" t="s">
        <v>1443</v>
      </c>
      <c r="O2235" s="37" t="s">
        <v>8</v>
      </c>
      <c r="P2235" s="47" t="str">
        <f>IF(AND('331-CT'!$F$5=TH!H2235,OR(N2235="331",O2235="331")),"x","")</f>
        <v/>
      </c>
      <c r="Q2235" s="47" t="str">
        <f>IF(AND(B2235='111'!$L$11,OR($N2235=$Q$7,$O2235=$Q$7)),"x","")</f>
        <v/>
      </c>
      <c r="R2235" s="47" t="str">
        <f>IF(AND($N2235=$Q$7,$B2235&lt;'111'!$L$11),"x","")</f>
        <v/>
      </c>
      <c r="S2235" s="47" t="str">
        <f>IF(AND($O2235=$Q$7,$B2235&lt;'111'!$L$11),"x","")</f>
        <v/>
      </c>
    </row>
    <row r="2236" spans="1:19" ht="15.75" customHeight="1">
      <c r="A2236" s="152" t="str">
        <f>IF(B2236&lt;&gt;"",IF(AND(B2236='IN-TC'!$S$4,OR(TH!N2236="1111",TH!O2236="1111")),TH!D2236,""),"")</f>
        <v/>
      </c>
      <c r="B2236" s="34">
        <f t="shared" si="89"/>
        <v>1</v>
      </c>
      <c r="C2236" s="35">
        <f t="shared" si="90"/>
        <v>0</v>
      </c>
      <c r="D2236" s="212"/>
      <c r="E2236" s="35"/>
      <c r="F2236" s="144"/>
      <c r="G2236" s="191"/>
      <c r="H2236" s="198"/>
      <c r="I2236" s="186"/>
      <c r="J2236" s="186"/>
      <c r="K2236" s="185"/>
      <c r="L2236" s="186"/>
      <c r="M2236" s="36">
        <f t="shared" si="88"/>
        <v>0</v>
      </c>
      <c r="N2236" s="37" t="s">
        <v>1443</v>
      </c>
      <c r="O2236" s="37" t="s">
        <v>8</v>
      </c>
      <c r="P2236" s="47" t="str">
        <f>IF(AND('331-CT'!$F$5=TH!H2236,OR(N2236="331",O2236="331")),"x","")</f>
        <v/>
      </c>
      <c r="Q2236" s="47" t="str">
        <f>IF(AND(B2236='111'!$L$11,OR($N2236=$Q$7,$O2236=$Q$7)),"x","")</f>
        <v/>
      </c>
      <c r="R2236" s="47" t="str">
        <f>IF(AND($N2236=$Q$7,$B2236&lt;'111'!$L$11),"x","")</f>
        <v/>
      </c>
      <c r="S2236" s="47" t="str">
        <f>IF(AND($O2236=$Q$7,$B2236&lt;'111'!$L$11),"x","")</f>
        <v/>
      </c>
    </row>
    <row r="2237" spans="1:19" ht="15.75" customHeight="1">
      <c r="A2237" s="152" t="str">
        <f>IF(B2237&lt;&gt;"",IF(AND(B2237='IN-TC'!$S$4,OR(TH!N2237="1111",TH!O2237="1111")),TH!D2237,""),"")</f>
        <v/>
      </c>
      <c r="B2237" s="34">
        <f t="shared" si="89"/>
        <v>1</v>
      </c>
      <c r="C2237" s="35">
        <f t="shared" si="90"/>
        <v>0</v>
      </c>
      <c r="D2237" s="212"/>
      <c r="E2237" s="35"/>
      <c r="F2237" s="144"/>
      <c r="G2237" s="191"/>
      <c r="H2237" s="198"/>
      <c r="I2237" s="186"/>
      <c r="J2237" s="186"/>
      <c r="K2237" s="185"/>
      <c r="L2237" s="186"/>
      <c r="M2237" s="36">
        <f t="shared" si="88"/>
        <v>0</v>
      </c>
      <c r="N2237" s="37" t="s">
        <v>1443</v>
      </c>
      <c r="O2237" s="37" t="s">
        <v>8</v>
      </c>
      <c r="P2237" s="47" t="str">
        <f>IF(AND('331-CT'!$F$5=TH!H2237,OR(N2237="331",O2237="331")),"x","")</f>
        <v/>
      </c>
      <c r="Q2237" s="47" t="str">
        <f>IF(AND(B2237='111'!$L$11,OR($N2237=$Q$7,$O2237=$Q$7)),"x","")</f>
        <v/>
      </c>
      <c r="R2237" s="47" t="str">
        <f>IF(AND($N2237=$Q$7,$B2237&lt;'111'!$L$11),"x","")</f>
        <v/>
      </c>
      <c r="S2237" s="47" t="str">
        <f>IF(AND($O2237=$Q$7,$B2237&lt;'111'!$L$11),"x","")</f>
        <v/>
      </c>
    </row>
    <row r="2238" spans="1:19" ht="15.75" customHeight="1">
      <c r="A2238" s="152" t="str">
        <f>IF(B2238&lt;&gt;"",IF(AND(B2238='IN-TC'!$S$4,OR(TH!N2238="1111",TH!O2238="1111")),TH!D2238,""),"")</f>
        <v/>
      </c>
      <c r="B2238" s="34">
        <f t="shared" si="89"/>
        <v>1</v>
      </c>
      <c r="C2238" s="35">
        <f t="shared" si="90"/>
        <v>0</v>
      </c>
      <c r="D2238" s="212"/>
      <c r="E2238" s="35"/>
      <c r="F2238" s="144"/>
      <c r="G2238" s="191"/>
      <c r="H2238" s="198"/>
      <c r="I2238" s="186"/>
      <c r="J2238" s="186"/>
      <c r="K2238" s="185"/>
      <c r="L2238" s="186"/>
      <c r="M2238" s="36">
        <f t="shared" si="88"/>
        <v>0</v>
      </c>
      <c r="N2238" s="37" t="s">
        <v>1443</v>
      </c>
      <c r="O2238" s="37" t="s">
        <v>8</v>
      </c>
      <c r="P2238" s="47" t="str">
        <f>IF(AND('331-CT'!$F$5=TH!H2238,OR(N2238="331",O2238="331")),"x","")</f>
        <v/>
      </c>
      <c r="Q2238" s="47" t="str">
        <f>IF(AND(B2238='111'!$L$11,OR($N2238=$Q$7,$O2238=$Q$7)),"x","")</f>
        <v/>
      </c>
      <c r="R2238" s="47" t="str">
        <f>IF(AND($N2238=$Q$7,$B2238&lt;'111'!$L$11),"x","")</f>
        <v/>
      </c>
      <c r="S2238" s="47" t="str">
        <f>IF(AND($O2238=$Q$7,$B2238&lt;'111'!$L$11),"x","")</f>
        <v/>
      </c>
    </row>
    <row r="2239" spans="1:19" ht="15.75" customHeight="1">
      <c r="A2239" s="152" t="str">
        <f>IF(B2239&lt;&gt;"",IF(AND(B2239='IN-TC'!$S$4,OR(TH!N2239="1111",TH!O2239="1111")),TH!D2239,""),"")</f>
        <v/>
      </c>
      <c r="B2239" s="34">
        <f t="shared" si="89"/>
        <v>1</v>
      </c>
      <c r="C2239" s="35">
        <f t="shared" si="90"/>
        <v>0</v>
      </c>
      <c r="D2239" s="212"/>
      <c r="E2239" s="35"/>
      <c r="F2239" s="144"/>
      <c r="G2239" s="191"/>
      <c r="H2239" s="198"/>
      <c r="I2239" s="186"/>
      <c r="J2239" s="186"/>
      <c r="K2239" s="185"/>
      <c r="L2239" s="186"/>
      <c r="M2239" s="36">
        <f t="shared" si="88"/>
        <v>0</v>
      </c>
      <c r="N2239" s="37" t="s">
        <v>1443</v>
      </c>
      <c r="O2239" s="37" t="s">
        <v>8</v>
      </c>
      <c r="P2239" s="47" t="str">
        <f>IF(AND('331-CT'!$F$5=TH!H2239,OR(N2239="331",O2239="331")),"x","")</f>
        <v/>
      </c>
      <c r="Q2239" s="47" t="str">
        <f>IF(AND(B2239='111'!$L$11,OR($N2239=$Q$7,$O2239=$Q$7)),"x","")</f>
        <v/>
      </c>
      <c r="R2239" s="47" t="str">
        <f>IF(AND($N2239=$Q$7,$B2239&lt;'111'!$L$11),"x","")</f>
        <v/>
      </c>
      <c r="S2239" s="47" t="str">
        <f>IF(AND($O2239=$Q$7,$B2239&lt;'111'!$L$11),"x","")</f>
        <v/>
      </c>
    </row>
    <row r="2240" spans="1:19" ht="15.75" customHeight="1">
      <c r="A2240" s="152" t="str">
        <f>IF(B2240&lt;&gt;"",IF(AND(B2240='IN-TC'!$S$4,OR(TH!N2240="1111",TH!O2240="1111")),TH!D2240,""),"")</f>
        <v/>
      </c>
      <c r="B2240" s="34">
        <f t="shared" si="89"/>
        <v>1</v>
      </c>
      <c r="C2240" s="35">
        <f t="shared" si="90"/>
        <v>0</v>
      </c>
      <c r="D2240" s="212"/>
      <c r="E2240" s="35"/>
      <c r="F2240" s="144"/>
      <c r="G2240" s="191"/>
      <c r="H2240" s="198"/>
      <c r="I2240" s="186"/>
      <c r="J2240" s="186"/>
      <c r="K2240" s="185"/>
      <c r="L2240" s="186"/>
      <c r="M2240" s="36">
        <f t="shared" si="88"/>
        <v>0</v>
      </c>
      <c r="N2240" s="37" t="s">
        <v>1443</v>
      </c>
      <c r="O2240" s="37" t="s">
        <v>8</v>
      </c>
      <c r="P2240" s="47" t="str">
        <f>IF(AND('331-CT'!$F$5=TH!H2240,OR(N2240="331",O2240="331")),"x","")</f>
        <v/>
      </c>
      <c r="Q2240" s="47" t="str">
        <f>IF(AND(B2240='111'!$L$11,OR($N2240=$Q$7,$O2240=$Q$7)),"x","")</f>
        <v/>
      </c>
      <c r="R2240" s="47" t="str">
        <f>IF(AND($N2240=$Q$7,$B2240&lt;'111'!$L$11),"x","")</f>
        <v/>
      </c>
      <c r="S2240" s="47" t="str">
        <f>IF(AND($O2240=$Q$7,$B2240&lt;'111'!$L$11),"x","")</f>
        <v/>
      </c>
    </row>
    <row r="2241" spans="1:19" ht="15.75" customHeight="1">
      <c r="A2241" s="152" t="str">
        <f>IF(B2241&lt;&gt;"",IF(AND(B2241='IN-TC'!$S$4,OR(TH!N2241="1111",TH!O2241="1111")),TH!D2241,""),"")</f>
        <v/>
      </c>
      <c r="B2241" s="34">
        <f t="shared" si="89"/>
        <v>1</v>
      </c>
      <c r="C2241" s="35">
        <f t="shared" si="90"/>
        <v>0</v>
      </c>
      <c r="D2241" s="212"/>
      <c r="E2241" s="35"/>
      <c r="F2241" s="144"/>
      <c r="G2241" s="191"/>
      <c r="H2241" s="198"/>
      <c r="I2241" s="186"/>
      <c r="J2241" s="186"/>
      <c r="K2241" s="185"/>
      <c r="L2241" s="186"/>
      <c r="M2241" s="36">
        <f t="shared" si="88"/>
        <v>0</v>
      </c>
      <c r="N2241" s="37" t="s">
        <v>1443</v>
      </c>
      <c r="O2241" s="37" t="s">
        <v>8</v>
      </c>
      <c r="P2241" s="47" t="str">
        <f>IF(AND('331-CT'!$F$5=TH!H2241,OR(N2241="331",O2241="331")),"x","")</f>
        <v/>
      </c>
      <c r="Q2241" s="47" t="str">
        <f>IF(AND(B2241='111'!$L$11,OR($N2241=$Q$7,$O2241=$Q$7)),"x","")</f>
        <v/>
      </c>
      <c r="R2241" s="47" t="str">
        <f>IF(AND($N2241=$Q$7,$B2241&lt;'111'!$L$11),"x","")</f>
        <v/>
      </c>
      <c r="S2241" s="47" t="str">
        <f>IF(AND($O2241=$Q$7,$B2241&lt;'111'!$L$11),"x","")</f>
        <v/>
      </c>
    </row>
    <row r="2242" spans="1:19" ht="15.75" customHeight="1">
      <c r="A2242" s="152" t="str">
        <f>IF(B2242&lt;&gt;"",IF(AND(B2242='IN-TC'!$S$4,OR(TH!N2242="1111",TH!O2242="1111")),TH!D2242,""),"")</f>
        <v/>
      </c>
      <c r="B2242" s="34">
        <f t="shared" si="89"/>
        <v>1</v>
      </c>
      <c r="C2242" s="35">
        <f t="shared" si="90"/>
        <v>0</v>
      </c>
      <c r="D2242" s="212"/>
      <c r="E2242" s="35"/>
      <c r="F2242" s="144"/>
      <c r="G2242" s="191"/>
      <c r="H2242" s="198"/>
      <c r="I2242" s="186"/>
      <c r="J2242" s="186"/>
      <c r="K2242" s="185"/>
      <c r="L2242" s="186"/>
      <c r="M2242" s="36">
        <f t="shared" si="88"/>
        <v>0</v>
      </c>
      <c r="N2242" s="37" t="s">
        <v>1443</v>
      </c>
      <c r="O2242" s="37" t="s">
        <v>8</v>
      </c>
      <c r="P2242" s="47" t="str">
        <f>IF(AND('331-CT'!$F$5=TH!H2242,OR(N2242="331",O2242="331")),"x","")</f>
        <v/>
      </c>
      <c r="Q2242" s="47" t="str">
        <f>IF(AND(B2242='111'!$L$11,OR($N2242=$Q$7,$O2242=$Q$7)),"x","")</f>
        <v/>
      </c>
      <c r="R2242" s="47" t="str">
        <f>IF(AND($N2242=$Q$7,$B2242&lt;'111'!$L$11),"x","")</f>
        <v/>
      </c>
      <c r="S2242" s="47" t="str">
        <f>IF(AND($O2242=$Q$7,$B2242&lt;'111'!$L$11),"x","")</f>
        <v/>
      </c>
    </row>
    <row r="2243" spans="1:19" ht="15.75" customHeight="1">
      <c r="A2243" s="152" t="str">
        <f>IF(B2243&lt;&gt;"",IF(AND(B2243='IN-TC'!$S$4,OR(TH!N2243="1111",TH!O2243="1111")),TH!D2243,""),"")</f>
        <v/>
      </c>
      <c r="B2243" s="34">
        <f t="shared" si="89"/>
        <v>1</v>
      </c>
      <c r="C2243" s="35">
        <f t="shared" si="90"/>
        <v>0</v>
      </c>
      <c r="D2243" s="212"/>
      <c r="E2243" s="35"/>
      <c r="F2243" s="144"/>
      <c r="G2243" s="191"/>
      <c r="H2243" s="198"/>
      <c r="I2243" s="186"/>
      <c r="J2243" s="186"/>
      <c r="K2243" s="185"/>
      <c r="L2243" s="186"/>
      <c r="M2243" s="36">
        <f t="shared" si="88"/>
        <v>0</v>
      </c>
      <c r="N2243" s="37" t="s">
        <v>1443</v>
      </c>
      <c r="O2243" s="37" t="s">
        <v>8</v>
      </c>
      <c r="P2243" s="47" t="str">
        <f>IF(AND('331-CT'!$F$5=TH!H2243,OR(N2243="331",O2243="331")),"x","")</f>
        <v/>
      </c>
      <c r="Q2243" s="47" t="str">
        <f>IF(AND(B2243='111'!$L$11,OR($N2243=$Q$7,$O2243=$Q$7)),"x","")</f>
        <v/>
      </c>
      <c r="R2243" s="47" t="str">
        <f>IF(AND($N2243=$Q$7,$B2243&lt;'111'!$L$11),"x","")</f>
        <v/>
      </c>
      <c r="S2243" s="47" t="str">
        <f>IF(AND($O2243=$Q$7,$B2243&lt;'111'!$L$11),"x","")</f>
        <v/>
      </c>
    </row>
    <row r="2244" spans="1:19" ht="15.75" customHeight="1">
      <c r="A2244" s="152" t="str">
        <f>IF(B2244&lt;&gt;"",IF(AND(B2244='IN-TC'!$S$4,OR(TH!N2244="1111",TH!O2244="1111")),TH!D2244,""),"")</f>
        <v/>
      </c>
      <c r="B2244" s="34">
        <f t="shared" si="89"/>
        <v>1</v>
      </c>
      <c r="C2244" s="35">
        <f t="shared" si="90"/>
        <v>0</v>
      </c>
      <c r="D2244" s="212"/>
      <c r="E2244" s="35"/>
      <c r="F2244" s="144"/>
      <c r="G2244" s="191"/>
      <c r="H2244" s="198"/>
      <c r="I2244" s="186"/>
      <c r="J2244" s="186"/>
      <c r="K2244" s="185"/>
      <c r="L2244" s="186"/>
      <c r="M2244" s="36">
        <f t="shared" si="88"/>
        <v>0</v>
      </c>
      <c r="N2244" s="37" t="s">
        <v>1443</v>
      </c>
      <c r="O2244" s="37" t="s">
        <v>8</v>
      </c>
      <c r="P2244" s="47" t="str">
        <f>IF(AND('331-CT'!$F$5=TH!H2244,OR(N2244="331",O2244="331")),"x","")</f>
        <v/>
      </c>
      <c r="Q2244" s="47" t="str">
        <f>IF(AND(B2244='111'!$L$11,OR($N2244=$Q$7,$O2244=$Q$7)),"x","")</f>
        <v/>
      </c>
      <c r="R2244" s="47" t="str">
        <f>IF(AND($N2244=$Q$7,$B2244&lt;'111'!$L$11),"x","")</f>
        <v/>
      </c>
      <c r="S2244" s="47" t="str">
        <f>IF(AND($O2244=$Q$7,$B2244&lt;'111'!$L$11),"x","")</f>
        <v/>
      </c>
    </row>
    <row r="2245" spans="1:19" ht="15.75" customHeight="1">
      <c r="A2245" s="152" t="str">
        <f>IF(B2245&lt;&gt;"",IF(AND(B2245='IN-TC'!$S$4,OR(TH!N2245="1111",TH!O2245="1111")),TH!D2245,""),"")</f>
        <v/>
      </c>
      <c r="B2245" s="34">
        <f t="shared" si="89"/>
        <v>1</v>
      </c>
      <c r="C2245" s="35">
        <f t="shared" si="90"/>
        <v>0</v>
      </c>
      <c r="D2245" s="212"/>
      <c r="E2245" s="35"/>
      <c r="F2245" s="144"/>
      <c r="G2245" s="191"/>
      <c r="H2245" s="198"/>
      <c r="I2245" s="186"/>
      <c r="J2245" s="186"/>
      <c r="K2245" s="185"/>
      <c r="L2245" s="186"/>
      <c r="M2245" s="36">
        <f t="shared" si="88"/>
        <v>0</v>
      </c>
      <c r="N2245" s="37" t="s">
        <v>1443</v>
      </c>
      <c r="O2245" s="37" t="s">
        <v>8</v>
      </c>
      <c r="P2245" s="47" t="str">
        <f>IF(AND('331-CT'!$F$5=TH!H2245,OR(N2245="331",O2245="331")),"x","")</f>
        <v/>
      </c>
      <c r="Q2245" s="47" t="str">
        <f>IF(AND(B2245='111'!$L$11,OR($N2245=$Q$7,$O2245=$Q$7)),"x","")</f>
        <v/>
      </c>
      <c r="R2245" s="47" t="str">
        <f>IF(AND($N2245=$Q$7,$B2245&lt;'111'!$L$11),"x","")</f>
        <v/>
      </c>
      <c r="S2245" s="47" t="str">
        <f>IF(AND($O2245=$Q$7,$B2245&lt;'111'!$L$11),"x","")</f>
        <v/>
      </c>
    </row>
    <row r="2246" spans="1:19" ht="15.75" customHeight="1">
      <c r="A2246" s="152" t="str">
        <f>IF(B2246&lt;&gt;"",IF(AND(B2246='IN-TC'!$S$4,OR(TH!N2246="1111",TH!O2246="1111")),TH!D2246,""),"")</f>
        <v/>
      </c>
      <c r="B2246" s="34">
        <f t="shared" si="89"/>
        <v>1</v>
      </c>
      <c r="C2246" s="35">
        <f t="shared" si="90"/>
        <v>0</v>
      </c>
      <c r="D2246" s="212"/>
      <c r="E2246" s="35"/>
      <c r="F2246" s="144"/>
      <c r="G2246" s="191"/>
      <c r="H2246" s="198"/>
      <c r="I2246" s="186"/>
      <c r="J2246" s="186"/>
      <c r="K2246" s="185"/>
      <c r="L2246" s="186"/>
      <c r="M2246" s="36">
        <f t="shared" si="88"/>
        <v>0</v>
      </c>
      <c r="N2246" s="37" t="s">
        <v>1443</v>
      </c>
      <c r="O2246" s="37" t="s">
        <v>8</v>
      </c>
      <c r="P2246" s="47" t="str">
        <f>IF(AND('331-CT'!$F$5=TH!H2246,OR(N2246="331",O2246="331")),"x","")</f>
        <v/>
      </c>
      <c r="Q2246" s="47" t="str">
        <f>IF(AND(B2246='111'!$L$11,OR($N2246=$Q$7,$O2246=$Q$7)),"x","")</f>
        <v/>
      </c>
      <c r="R2246" s="47" t="str">
        <f>IF(AND($N2246=$Q$7,$B2246&lt;'111'!$L$11),"x","")</f>
        <v/>
      </c>
      <c r="S2246" s="47" t="str">
        <f>IF(AND($O2246=$Q$7,$B2246&lt;'111'!$L$11),"x","")</f>
        <v/>
      </c>
    </row>
    <row r="2247" spans="1:19" ht="15.75" customHeight="1">
      <c r="A2247" s="152" t="str">
        <f>IF(B2247&lt;&gt;"",IF(AND(B2247='IN-TC'!$S$4,OR(TH!N2247="1111",TH!O2247="1111")),TH!D2247,""),"")</f>
        <v/>
      </c>
      <c r="B2247" s="34">
        <f t="shared" si="89"/>
        <v>1</v>
      </c>
      <c r="C2247" s="35">
        <f t="shared" si="90"/>
        <v>0</v>
      </c>
      <c r="D2247" s="212"/>
      <c r="E2247" s="35"/>
      <c r="F2247" s="144"/>
      <c r="G2247" s="191"/>
      <c r="H2247" s="198"/>
      <c r="I2247" s="186"/>
      <c r="J2247" s="186"/>
      <c r="K2247" s="185"/>
      <c r="L2247" s="186"/>
      <c r="M2247" s="36">
        <f t="shared" si="88"/>
        <v>0</v>
      </c>
      <c r="N2247" s="37" t="s">
        <v>1443</v>
      </c>
      <c r="O2247" s="37" t="s">
        <v>8</v>
      </c>
      <c r="P2247" s="47" t="str">
        <f>IF(AND('331-CT'!$F$5=TH!H2247,OR(N2247="331",O2247="331")),"x","")</f>
        <v/>
      </c>
      <c r="Q2247" s="47" t="str">
        <f>IF(AND(B2247='111'!$L$11,OR($N2247=$Q$7,$O2247=$Q$7)),"x","")</f>
        <v/>
      </c>
      <c r="R2247" s="47" t="str">
        <f>IF(AND($N2247=$Q$7,$B2247&lt;'111'!$L$11),"x","")</f>
        <v/>
      </c>
      <c r="S2247" s="47" t="str">
        <f>IF(AND($O2247=$Q$7,$B2247&lt;'111'!$L$11),"x","")</f>
        <v/>
      </c>
    </row>
    <row r="2248" spans="1:19" ht="15.75" customHeight="1">
      <c r="A2248" s="152" t="str">
        <f>IF(B2248&lt;&gt;"",IF(AND(B2248='IN-TC'!$S$4,OR(TH!N2248="1111",TH!O2248="1111")),TH!D2248,""),"")</f>
        <v/>
      </c>
      <c r="B2248" s="34">
        <f t="shared" si="89"/>
        <v>1</v>
      </c>
      <c r="C2248" s="35">
        <f t="shared" si="90"/>
        <v>0</v>
      </c>
      <c r="D2248" s="212"/>
      <c r="E2248" s="35"/>
      <c r="F2248" s="144"/>
      <c r="G2248" s="191"/>
      <c r="H2248" s="198"/>
      <c r="I2248" s="186"/>
      <c r="J2248" s="186"/>
      <c r="K2248" s="185"/>
      <c r="L2248" s="186"/>
      <c r="M2248" s="36">
        <f t="shared" si="88"/>
        <v>0</v>
      </c>
      <c r="N2248" s="37" t="s">
        <v>1443</v>
      </c>
      <c r="O2248" s="37" t="s">
        <v>8</v>
      </c>
      <c r="P2248" s="47" t="str">
        <f>IF(AND('331-CT'!$F$5=TH!H2248,OR(N2248="331",O2248="331")),"x","")</f>
        <v/>
      </c>
      <c r="Q2248" s="47" t="str">
        <f>IF(AND(B2248='111'!$L$11,OR($N2248=$Q$7,$O2248=$Q$7)),"x","")</f>
        <v/>
      </c>
      <c r="R2248" s="47" t="str">
        <f>IF(AND($N2248=$Q$7,$B2248&lt;'111'!$L$11),"x","")</f>
        <v/>
      </c>
      <c r="S2248" s="47" t="str">
        <f>IF(AND($O2248=$Q$7,$B2248&lt;'111'!$L$11),"x","")</f>
        <v/>
      </c>
    </row>
    <row r="2249" spans="1:19" ht="15.75" customHeight="1">
      <c r="A2249" s="152" t="str">
        <f>IF(B2249&lt;&gt;"",IF(AND(B2249='IN-TC'!$S$4,OR(TH!N2249="1111",TH!O2249="1111")),TH!D2249,""),"")</f>
        <v/>
      </c>
      <c r="B2249" s="34">
        <f t="shared" si="89"/>
        <v>1</v>
      </c>
      <c r="C2249" s="35">
        <f t="shared" si="90"/>
        <v>0</v>
      </c>
      <c r="D2249" s="212"/>
      <c r="E2249" s="35"/>
      <c r="F2249" s="144"/>
      <c r="G2249" s="191"/>
      <c r="H2249" s="198"/>
      <c r="I2249" s="186"/>
      <c r="J2249" s="186"/>
      <c r="K2249" s="185"/>
      <c r="L2249" s="186"/>
      <c r="M2249" s="36">
        <f t="shared" si="88"/>
        <v>0</v>
      </c>
      <c r="N2249" s="37" t="s">
        <v>1443</v>
      </c>
      <c r="O2249" s="37" t="s">
        <v>8</v>
      </c>
      <c r="P2249" s="47" t="str">
        <f>IF(AND('331-CT'!$F$5=TH!H2249,OR(N2249="331",O2249="331")),"x","")</f>
        <v/>
      </c>
      <c r="Q2249" s="47" t="str">
        <f>IF(AND(B2249='111'!$L$11,OR($N2249=$Q$7,$O2249=$Q$7)),"x","")</f>
        <v/>
      </c>
      <c r="R2249" s="47" t="str">
        <f>IF(AND($N2249=$Q$7,$B2249&lt;'111'!$L$11),"x","")</f>
        <v/>
      </c>
      <c r="S2249" s="47" t="str">
        <f>IF(AND($O2249=$Q$7,$B2249&lt;'111'!$L$11),"x","")</f>
        <v/>
      </c>
    </row>
    <row r="2250" spans="1:19" ht="15.75" customHeight="1">
      <c r="A2250" s="152" t="str">
        <f>IF(B2250&lt;&gt;"",IF(AND(B2250='IN-TC'!$S$4,OR(TH!N2250="1111",TH!O2250="1111")),TH!D2250,""),"")</f>
        <v/>
      </c>
      <c r="B2250" s="34">
        <f t="shared" si="89"/>
        <v>1</v>
      </c>
      <c r="C2250" s="35">
        <f t="shared" si="90"/>
        <v>0</v>
      </c>
      <c r="D2250" s="212"/>
      <c r="E2250" s="35"/>
      <c r="F2250" s="144"/>
      <c r="G2250" s="191"/>
      <c r="H2250" s="198"/>
      <c r="I2250" s="186"/>
      <c r="J2250" s="186"/>
      <c r="K2250" s="185"/>
      <c r="L2250" s="186"/>
      <c r="M2250" s="36">
        <f t="shared" si="88"/>
        <v>0</v>
      </c>
      <c r="N2250" s="37" t="s">
        <v>1443</v>
      </c>
      <c r="O2250" s="37" t="s">
        <v>8</v>
      </c>
      <c r="P2250" s="47" t="str">
        <f>IF(AND('331-CT'!$F$5=TH!H2250,OR(N2250="331",O2250="331")),"x","")</f>
        <v/>
      </c>
      <c r="Q2250" s="47" t="str">
        <f>IF(AND(B2250='111'!$L$11,OR($N2250=$Q$7,$O2250=$Q$7)),"x","")</f>
        <v/>
      </c>
      <c r="R2250" s="47" t="str">
        <f>IF(AND($N2250=$Q$7,$B2250&lt;'111'!$L$11),"x","")</f>
        <v/>
      </c>
      <c r="S2250" s="47" t="str">
        <f>IF(AND($O2250=$Q$7,$B2250&lt;'111'!$L$11),"x","")</f>
        <v/>
      </c>
    </row>
    <row r="2251" spans="1:19" ht="15.75" customHeight="1">
      <c r="A2251" s="152" t="str">
        <f>IF(B2251&lt;&gt;"",IF(AND(B2251='IN-TC'!$S$4,OR(TH!N2251="1111",TH!O2251="1111")),TH!D2251,""),"")</f>
        <v/>
      </c>
      <c r="B2251" s="34">
        <f t="shared" si="89"/>
        <v>1</v>
      </c>
      <c r="C2251" s="35">
        <f t="shared" si="90"/>
        <v>0</v>
      </c>
      <c r="D2251" s="212"/>
      <c r="E2251" s="35"/>
      <c r="F2251" s="144"/>
      <c r="G2251" s="191"/>
      <c r="H2251" s="198"/>
      <c r="I2251" s="186"/>
      <c r="J2251" s="186"/>
      <c r="K2251" s="185"/>
      <c r="L2251" s="186"/>
      <c r="M2251" s="36">
        <f t="shared" ref="M2251:M2314" si="91">ROUND(I2251*J2251,-3)</f>
        <v>0</v>
      </c>
      <c r="N2251" s="37" t="s">
        <v>1443</v>
      </c>
      <c r="O2251" s="37" t="s">
        <v>8</v>
      </c>
      <c r="P2251" s="47" t="str">
        <f>IF(AND('331-CT'!$F$5=TH!H2251,OR(N2251="331",O2251="331")),"x","")</f>
        <v/>
      </c>
      <c r="Q2251" s="47" t="str">
        <f>IF(AND(B2251='111'!$L$11,OR($N2251=$Q$7,$O2251=$Q$7)),"x","")</f>
        <v/>
      </c>
      <c r="R2251" s="47" t="str">
        <f>IF(AND($N2251=$Q$7,$B2251&lt;'111'!$L$11),"x","")</f>
        <v/>
      </c>
      <c r="S2251" s="47" t="str">
        <f>IF(AND($O2251=$Q$7,$B2251&lt;'111'!$L$11),"x","")</f>
        <v/>
      </c>
    </row>
    <row r="2252" spans="1:19" ht="15.75" customHeight="1">
      <c r="A2252" s="152" t="str">
        <f>IF(B2252&lt;&gt;"",IF(AND(B2252='IN-TC'!$S$4,OR(TH!N2252="1111",TH!O2252="1111")),TH!D2252,""),"")</f>
        <v/>
      </c>
      <c r="B2252" s="34">
        <f t="shared" si="89"/>
        <v>1</v>
      </c>
      <c r="C2252" s="35">
        <f t="shared" si="90"/>
        <v>0</v>
      </c>
      <c r="D2252" s="212"/>
      <c r="E2252" s="35"/>
      <c r="F2252" s="144"/>
      <c r="G2252" s="191"/>
      <c r="H2252" s="198"/>
      <c r="I2252" s="186"/>
      <c r="J2252" s="186"/>
      <c r="K2252" s="185"/>
      <c r="L2252" s="186"/>
      <c r="M2252" s="36">
        <f t="shared" si="91"/>
        <v>0</v>
      </c>
      <c r="N2252" s="37" t="s">
        <v>1443</v>
      </c>
      <c r="O2252" s="37" t="s">
        <v>8</v>
      </c>
      <c r="P2252" s="47" t="str">
        <f>IF(AND('331-CT'!$F$5=TH!H2252,OR(N2252="331",O2252="331")),"x","")</f>
        <v/>
      </c>
      <c r="Q2252" s="47" t="str">
        <f>IF(AND(B2252='111'!$L$11,OR($N2252=$Q$7,$O2252=$Q$7)),"x","")</f>
        <v/>
      </c>
      <c r="R2252" s="47" t="str">
        <f>IF(AND($N2252=$Q$7,$B2252&lt;'111'!$L$11),"x","")</f>
        <v/>
      </c>
      <c r="S2252" s="47" t="str">
        <f>IF(AND($O2252=$Q$7,$B2252&lt;'111'!$L$11),"x","")</f>
        <v/>
      </c>
    </row>
    <row r="2253" spans="1:19" ht="15.75" customHeight="1">
      <c r="A2253" s="152" t="str">
        <f>IF(B2253&lt;&gt;"",IF(AND(B2253='IN-TC'!$S$4,OR(TH!N2253="1111",TH!O2253="1111")),TH!D2253,""),"")</f>
        <v/>
      </c>
      <c r="B2253" s="34">
        <f t="shared" si="89"/>
        <v>1</v>
      </c>
      <c r="C2253" s="35">
        <f t="shared" si="90"/>
        <v>0</v>
      </c>
      <c r="D2253" s="212"/>
      <c r="E2253" s="35"/>
      <c r="F2253" s="144"/>
      <c r="G2253" s="191"/>
      <c r="H2253" s="198"/>
      <c r="I2253" s="186"/>
      <c r="J2253" s="186"/>
      <c r="K2253" s="185"/>
      <c r="L2253" s="186"/>
      <c r="M2253" s="36">
        <f t="shared" si="91"/>
        <v>0</v>
      </c>
      <c r="N2253" s="37" t="s">
        <v>1443</v>
      </c>
      <c r="O2253" s="37" t="s">
        <v>8</v>
      </c>
      <c r="P2253" s="47" t="str">
        <f>IF(AND('331-CT'!$F$5=TH!H2253,OR(N2253="331",O2253="331")),"x","")</f>
        <v/>
      </c>
      <c r="Q2253" s="47" t="str">
        <f>IF(AND(B2253='111'!$L$11,OR($N2253=$Q$7,$O2253=$Q$7)),"x","")</f>
        <v/>
      </c>
      <c r="R2253" s="47" t="str">
        <f>IF(AND($N2253=$Q$7,$B2253&lt;'111'!$L$11),"x","")</f>
        <v/>
      </c>
      <c r="S2253" s="47" t="str">
        <f>IF(AND($O2253=$Q$7,$B2253&lt;'111'!$L$11),"x","")</f>
        <v/>
      </c>
    </row>
    <row r="2254" spans="1:19" ht="15.75" customHeight="1">
      <c r="A2254" s="152" t="str">
        <f>IF(B2254&lt;&gt;"",IF(AND(B2254='IN-TC'!$S$4,OR(TH!N2254="1111",TH!O2254="1111")),TH!D2254,""),"")</f>
        <v/>
      </c>
      <c r="B2254" s="34">
        <f t="shared" si="89"/>
        <v>1</v>
      </c>
      <c r="C2254" s="35">
        <f t="shared" si="90"/>
        <v>0</v>
      </c>
      <c r="D2254" s="212"/>
      <c r="E2254" s="35"/>
      <c r="F2254" s="144"/>
      <c r="G2254" s="191"/>
      <c r="H2254" s="198"/>
      <c r="I2254" s="186"/>
      <c r="J2254" s="186"/>
      <c r="K2254" s="185"/>
      <c r="L2254" s="186"/>
      <c r="M2254" s="36">
        <f t="shared" si="91"/>
        <v>0</v>
      </c>
      <c r="N2254" s="37" t="s">
        <v>1443</v>
      </c>
      <c r="O2254" s="37" t="s">
        <v>8</v>
      </c>
      <c r="P2254" s="47" t="str">
        <f>IF(AND('331-CT'!$F$5=TH!H2254,OR(N2254="331",O2254="331")),"x","")</f>
        <v/>
      </c>
      <c r="Q2254" s="47" t="str">
        <f>IF(AND(B2254='111'!$L$11,OR($N2254=$Q$7,$O2254=$Q$7)),"x","")</f>
        <v/>
      </c>
      <c r="R2254" s="47" t="str">
        <f>IF(AND($N2254=$Q$7,$B2254&lt;'111'!$L$11),"x","")</f>
        <v/>
      </c>
      <c r="S2254" s="47" t="str">
        <f>IF(AND($O2254=$Q$7,$B2254&lt;'111'!$L$11),"x","")</f>
        <v/>
      </c>
    </row>
    <row r="2255" spans="1:19" ht="15.75" customHeight="1">
      <c r="A2255" s="152" t="str">
        <f>IF(B2255&lt;&gt;"",IF(AND(B2255='IN-TC'!$S$4,OR(TH!N2255="1111",TH!O2255="1111")),TH!D2255,""),"")</f>
        <v/>
      </c>
      <c r="B2255" s="34">
        <f t="shared" si="89"/>
        <v>1</v>
      </c>
      <c r="C2255" s="35">
        <f t="shared" si="90"/>
        <v>0</v>
      </c>
      <c r="D2255" s="212"/>
      <c r="E2255" s="35"/>
      <c r="F2255" s="144"/>
      <c r="G2255" s="191"/>
      <c r="H2255" s="198"/>
      <c r="I2255" s="186"/>
      <c r="J2255" s="186"/>
      <c r="K2255" s="185"/>
      <c r="L2255" s="186"/>
      <c r="M2255" s="36">
        <f t="shared" si="91"/>
        <v>0</v>
      </c>
      <c r="N2255" s="37" t="s">
        <v>1443</v>
      </c>
      <c r="O2255" s="37" t="s">
        <v>8</v>
      </c>
      <c r="P2255" s="47" t="str">
        <f>IF(AND('331-CT'!$F$5=TH!H2255,OR(N2255="331",O2255="331")),"x","")</f>
        <v/>
      </c>
      <c r="Q2255" s="47" t="str">
        <f>IF(AND(B2255='111'!$L$11,OR($N2255=$Q$7,$O2255=$Q$7)),"x","")</f>
        <v/>
      </c>
      <c r="R2255" s="47" t="str">
        <f>IF(AND($N2255=$Q$7,$B2255&lt;'111'!$L$11),"x","")</f>
        <v/>
      </c>
      <c r="S2255" s="47" t="str">
        <f>IF(AND($O2255=$Q$7,$B2255&lt;'111'!$L$11),"x","")</f>
        <v/>
      </c>
    </row>
    <row r="2256" spans="1:19" ht="15.75" customHeight="1">
      <c r="A2256" s="152" t="str">
        <f>IF(B2256&lt;&gt;"",IF(AND(B2256='IN-TC'!$S$4,OR(TH!N2256="1111",TH!O2256="1111")),TH!D2256,""),"")</f>
        <v/>
      </c>
      <c r="B2256" s="34">
        <f t="shared" si="89"/>
        <v>1</v>
      </c>
      <c r="C2256" s="35">
        <f t="shared" si="90"/>
        <v>0</v>
      </c>
      <c r="D2256" s="212"/>
      <c r="E2256" s="35"/>
      <c r="F2256" s="144"/>
      <c r="G2256" s="191"/>
      <c r="H2256" s="198"/>
      <c r="I2256" s="186"/>
      <c r="J2256" s="186"/>
      <c r="K2256" s="185"/>
      <c r="L2256" s="186"/>
      <c r="M2256" s="36">
        <f t="shared" si="91"/>
        <v>0</v>
      </c>
      <c r="N2256" s="37" t="s">
        <v>1443</v>
      </c>
      <c r="O2256" s="37" t="s">
        <v>8</v>
      </c>
      <c r="P2256" s="47" t="str">
        <f>IF(AND('331-CT'!$F$5=TH!H2256,OR(N2256="331",O2256="331")),"x","")</f>
        <v/>
      </c>
      <c r="Q2256" s="47" t="str">
        <f>IF(AND(B2256='111'!$L$11,OR($N2256=$Q$7,$O2256=$Q$7)),"x","")</f>
        <v/>
      </c>
      <c r="R2256" s="47" t="str">
        <f>IF(AND($N2256=$Q$7,$B2256&lt;'111'!$L$11),"x","")</f>
        <v/>
      </c>
      <c r="S2256" s="47" t="str">
        <f>IF(AND($O2256=$Q$7,$B2256&lt;'111'!$L$11),"x","")</f>
        <v/>
      </c>
    </row>
    <row r="2257" spans="1:19" ht="15.75" customHeight="1">
      <c r="A2257" s="152" t="str">
        <f>IF(B2257&lt;&gt;"",IF(AND(B2257='IN-TC'!$S$4,OR(TH!N2257="1111",TH!O2257="1111")),TH!D2257,""),"")</f>
        <v/>
      </c>
      <c r="B2257" s="34">
        <f t="shared" si="89"/>
        <v>1</v>
      </c>
      <c r="C2257" s="35">
        <f t="shared" si="90"/>
        <v>0</v>
      </c>
      <c r="D2257" s="212"/>
      <c r="E2257" s="35"/>
      <c r="F2257" s="144"/>
      <c r="G2257" s="191"/>
      <c r="H2257" s="198"/>
      <c r="I2257" s="186"/>
      <c r="J2257" s="186"/>
      <c r="K2257" s="185"/>
      <c r="L2257" s="186"/>
      <c r="M2257" s="36">
        <f t="shared" si="91"/>
        <v>0</v>
      </c>
      <c r="N2257" s="37" t="s">
        <v>1443</v>
      </c>
      <c r="O2257" s="37" t="s">
        <v>8</v>
      </c>
      <c r="P2257" s="47" t="str">
        <f>IF(AND('331-CT'!$F$5=TH!H2257,OR(N2257="331",O2257="331")),"x","")</f>
        <v/>
      </c>
      <c r="Q2257" s="47" t="str">
        <f>IF(AND(B2257='111'!$L$11,OR($N2257=$Q$7,$O2257=$Q$7)),"x","")</f>
        <v/>
      </c>
      <c r="R2257" s="47" t="str">
        <f>IF(AND($N2257=$Q$7,$B2257&lt;'111'!$L$11),"x","")</f>
        <v/>
      </c>
      <c r="S2257" s="47" t="str">
        <f>IF(AND($O2257=$Q$7,$B2257&lt;'111'!$L$11),"x","")</f>
        <v/>
      </c>
    </row>
    <row r="2258" spans="1:19" ht="15.75" customHeight="1">
      <c r="A2258" s="152" t="str">
        <f>IF(B2258&lt;&gt;"",IF(AND(B2258='IN-TC'!$S$4,OR(TH!N2258="1111",TH!O2258="1111")),TH!D2258,""),"")</f>
        <v/>
      </c>
      <c r="B2258" s="34">
        <f t="shared" si="89"/>
        <v>1</v>
      </c>
      <c r="C2258" s="35">
        <f t="shared" si="90"/>
        <v>0</v>
      </c>
      <c r="D2258" s="212"/>
      <c r="E2258" s="35"/>
      <c r="F2258" s="144"/>
      <c r="G2258" s="191"/>
      <c r="H2258" s="198"/>
      <c r="I2258" s="186"/>
      <c r="J2258" s="186"/>
      <c r="K2258" s="185"/>
      <c r="L2258" s="186"/>
      <c r="M2258" s="36">
        <f t="shared" si="91"/>
        <v>0</v>
      </c>
      <c r="N2258" s="37" t="s">
        <v>1443</v>
      </c>
      <c r="O2258" s="37" t="s">
        <v>8</v>
      </c>
      <c r="P2258" s="47" t="str">
        <f>IF(AND('331-CT'!$F$5=TH!H2258,OR(N2258="331",O2258="331")),"x","")</f>
        <v/>
      </c>
      <c r="Q2258" s="47" t="str">
        <f>IF(AND(B2258='111'!$L$11,OR($N2258=$Q$7,$O2258=$Q$7)),"x","")</f>
        <v/>
      </c>
      <c r="R2258" s="47" t="str">
        <f>IF(AND($N2258=$Q$7,$B2258&lt;'111'!$L$11),"x","")</f>
        <v/>
      </c>
      <c r="S2258" s="47" t="str">
        <f>IF(AND($O2258=$Q$7,$B2258&lt;'111'!$L$11),"x","")</f>
        <v/>
      </c>
    </row>
    <row r="2259" spans="1:19" ht="15.75" customHeight="1">
      <c r="A2259" s="152" t="str">
        <f>IF(B2259&lt;&gt;"",IF(AND(B2259='IN-TC'!$S$4,OR(TH!N2259="1111",TH!O2259="1111")),TH!D2259,""),"")</f>
        <v/>
      </c>
      <c r="B2259" s="34">
        <f t="shared" si="89"/>
        <v>1</v>
      </c>
      <c r="C2259" s="35">
        <f t="shared" si="90"/>
        <v>0</v>
      </c>
      <c r="D2259" s="212"/>
      <c r="E2259" s="35"/>
      <c r="F2259" s="144"/>
      <c r="G2259" s="191"/>
      <c r="H2259" s="198"/>
      <c r="I2259" s="186"/>
      <c r="J2259" s="186"/>
      <c r="K2259" s="185"/>
      <c r="L2259" s="186"/>
      <c r="M2259" s="36">
        <f t="shared" si="91"/>
        <v>0</v>
      </c>
      <c r="N2259" s="37" t="s">
        <v>1443</v>
      </c>
      <c r="O2259" s="37" t="s">
        <v>8</v>
      </c>
      <c r="P2259" s="47" t="str">
        <f>IF(AND('331-CT'!$F$5=TH!H2259,OR(N2259="331",O2259="331")),"x","")</f>
        <v/>
      </c>
      <c r="Q2259" s="47" t="str">
        <f>IF(AND(B2259='111'!$L$11,OR($N2259=$Q$7,$O2259=$Q$7)),"x","")</f>
        <v/>
      </c>
      <c r="R2259" s="47" t="str">
        <f>IF(AND($N2259=$Q$7,$B2259&lt;'111'!$L$11),"x","")</f>
        <v/>
      </c>
      <c r="S2259" s="47" t="str">
        <f>IF(AND($O2259=$Q$7,$B2259&lt;'111'!$L$11),"x","")</f>
        <v/>
      </c>
    </row>
    <row r="2260" spans="1:19" ht="15.75" customHeight="1">
      <c r="A2260" s="152" t="str">
        <f>IF(B2260&lt;&gt;"",IF(AND(B2260='IN-TC'!$S$4,OR(TH!N2260="1111",TH!O2260="1111")),TH!D2260,""),"")</f>
        <v/>
      </c>
      <c r="B2260" s="34">
        <f t="shared" si="89"/>
        <v>1</v>
      </c>
      <c r="C2260" s="35">
        <f t="shared" si="90"/>
        <v>0</v>
      </c>
      <c r="D2260" s="212"/>
      <c r="E2260" s="35"/>
      <c r="F2260" s="144"/>
      <c r="G2260" s="191"/>
      <c r="H2260" s="198"/>
      <c r="I2260" s="186"/>
      <c r="J2260" s="186"/>
      <c r="K2260" s="185"/>
      <c r="L2260" s="186"/>
      <c r="M2260" s="36">
        <f t="shared" si="91"/>
        <v>0</v>
      </c>
      <c r="N2260" s="37" t="s">
        <v>1443</v>
      </c>
      <c r="O2260" s="37" t="s">
        <v>8</v>
      </c>
      <c r="P2260" s="47" t="str">
        <f>IF(AND('331-CT'!$F$5=TH!H2260,OR(N2260="331",O2260="331")),"x","")</f>
        <v/>
      </c>
      <c r="Q2260" s="47" t="str">
        <f>IF(AND(B2260='111'!$L$11,OR($N2260=$Q$7,$O2260=$Q$7)),"x","")</f>
        <v/>
      </c>
      <c r="R2260" s="47" t="str">
        <f>IF(AND($N2260=$Q$7,$B2260&lt;'111'!$L$11),"x","")</f>
        <v/>
      </c>
      <c r="S2260" s="47" t="str">
        <f>IF(AND($O2260=$Q$7,$B2260&lt;'111'!$L$11),"x","")</f>
        <v/>
      </c>
    </row>
    <row r="2261" spans="1:19" ht="15.75" customHeight="1">
      <c r="A2261" s="152" t="str">
        <f>IF(B2261&lt;&gt;"",IF(AND(B2261='IN-TC'!$S$4,OR(TH!N2261="1111",TH!O2261="1111")),TH!D2261,""),"")</f>
        <v/>
      </c>
      <c r="B2261" s="34">
        <f t="shared" si="89"/>
        <v>1</v>
      </c>
      <c r="C2261" s="35">
        <f t="shared" si="90"/>
        <v>0</v>
      </c>
      <c r="D2261" s="212"/>
      <c r="E2261" s="35"/>
      <c r="F2261" s="144"/>
      <c r="G2261" s="191"/>
      <c r="H2261" s="198"/>
      <c r="I2261" s="186"/>
      <c r="J2261" s="186"/>
      <c r="K2261" s="185"/>
      <c r="L2261" s="186"/>
      <c r="M2261" s="36">
        <f t="shared" si="91"/>
        <v>0</v>
      </c>
      <c r="N2261" s="37" t="s">
        <v>1443</v>
      </c>
      <c r="O2261" s="37" t="s">
        <v>8</v>
      </c>
      <c r="P2261" s="47" t="str">
        <f>IF(AND('331-CT'!$F$5=TH!H2261,OR(N2261="331",O2261="331")),"x","")</f>
        <v/>
      </c>
      <c r="Q2261" s="47" t="str">
        <f>IF(AND(B2261='111'!$L$11,OR($N2261=$Q$7,$O2261=$Q$7)),"x","")</f>
        <v/>
      </c>
      <c r="R2261" s="47" t="str">
        <f>IF(AND($N2261=$Q$7,$B2261&lt;'111'!$L$11),"x","")</f>
        <v/>
      </c>
      <c r="S2261" s="47" t="str">
        <f>IF(AND($O2261=$Q$7,$B2261&lt;'111'!$L$11),"x","")</f>
        <v/>
      </c>
    </row>
    <row r="2262" spans="1:19" ht="15.75" customHeight="1">
      <c r="A2262" s="152" t="str">
        <f>IF(B2262&lt;&gt;"",IF(AND(B2262='IN-TC'!$S$4,OR(TH!N2262="1111",TH!O2262="1111")),TH!D2262,""),"")</f>
        <v/>
      </c>
      <c r="B2262" s="34">
        <f t="shared" si="89"/>
        <v>1</v>
      </c>
      <c r="C2262" s="35">
        <f t="shared" si="90"/>
        <v>0</v>
      </c>
      <c r="D2262" s="212"/>
      <c r="E2262" s="35"/>
      <c r="F2262" s="144"/>
      <c r="G2262" s="191"/>
      <c r="H2262" s="198"/>
      <c r="I2262" s="186"/>
      <c r="J2262" s="186"/>
      <c r="K2262" s="185"/>
      <c r="L2262" s="186"/>
      <c r="M2262" s="36">
        <f t="shared" si="91"/>
        <v>0</v>
      </c>
      <c r="N2262" s="37" t="s">
        <v>1443</v>
      </c>
      <c r="O2262" s="37" t="s">
        <v>8</v>
      </c>
      <c r="P2262" s="47" t="str">
        <f>IF(AND('331-CT'!$F$5=TH!H2262,OR(N2262="331",O2262="331")),"x","")</f>
        <v/>
      </c>
      <c r="Q2262" s="47" t="str">
        <f>IF(AND(B2262='111'!$L$11,OR($N2262=$Q$7,$O2262=$Q$7)),"x","")</f>
        <v/>
      </c>
      <c r="R2262" s="47" t="str">
        <f>IF(AND($N2262=$Q$7,$B2262&lt;'111'!$L$11),"x","")</f>
        <v/>
      </c>
      <c r="S2262" s="47" t="str">
        <f>IF(AND($O2262=$Q$7,$B2262&lt;'111'!$L$11),"x","")</f>
        <v/>
      </c>
    </row>
    <row r="2263" spans="1:19" ht="15.75" customHeight="1">
      <c r="A2263" s="152" t="str">
        <f>IF(B2263&lt;&gt;"",IF(AND(B2263='IN-TC'!$S$4,OR(TH!N2263="1111",TH!O2263="1111")),TH!D2263,""),"")</f>
        <v/>
      </c>
      <c r="B2263" s="34">
        <f t="shared" si="89"/>
        <v>1</v>
      </c>
      <c r="C2263" s="35">
        <f t="shared" si="90"/>
        <v>0</v>
      </c>
      <c r="D2263" s="212"/>
      <c r="E2263" s="35"/>
      <c r="F2263" s="144"/>
      <c r="G2263" s="191"/>
      <c r="H2263" s="198"/>
      <c r="I2263" s="186"/>
      <c r="J2263" s="186"/>
      <c r="K2263" s="185"/>
      <c r="L2263" s="186"/>
      <c r="M2263" s="36">
        <f t="shared" si="91"/>
        <v>0</v>
      </c>
      <c r="N2263" s="37" t="s">
        <v>1443</v>
      </c>
      <c r="O2263" s="37" t="s">
        <v>8</v>
      </c>
      <c r="P2263" s="47" t="str">
        <f>IF(AND('331-CT'!$F$5=TH!H2263,OR(N2263="331",O2263="331")),"x","")</f>
        <v/>
      </c>
      <c r="Q2263" s="47" t="str">
        <f>IF(AND(B2263='111'!$L$11,OR($N2263=$Q$7,$O2263=$Q$7)),"x","")</f>
        <v/>
      </c>
      <c r="R2263" s="47" t="str">
        <f>IF(AND($N2263=$Q$7,$B2263&lt;'111'!$L$11),"x","")</f>
        <v/>
      </c>
      <c r="S2263" s="47" t="str">
        <f>IF(AND($O2263=$Q$7,$B2263&lt;'111'!$L$11),"x","")</f>
        <v/>
      </c>
    </row>
    <row r="2264" spans="1:19" ht="15.75" customHeight="1">
      <c r="A2264" s="152" t="str">
        <f>IF(B2264&lt;&gt;"",IF(AND(B2264='IN-TC'!$S$4,OR(TH!N2264="1111",TH!O2264="1111")),TH!D2264,""),"")</f>
        <v/>
      </c>
      <c r="B2264" s="34">
        <f t="shared" si="89"/>
        <v>1</v>
      </c>
      <c r="C2264" s="35">
        <f t="shared" si="90"/>
        <v>0</v>
      </c>
      <c r="D2264" s="212"/>
      <c r="E2264" s="35"/>
      <c r="F2264" s="144"/>
      <c r="G2264" s="191"/>
      <c r="H2264" s="198"/>
      <c r="I2264" s="186"/>
      <c r="J2264" s="186"/>
      <c r="K2264" s="185"/>
      <c r="L2264" s="186"/>
      <c r="M2264" s="36">
        <f t="shared" si="91"/>
        <v>0</v>
      </c>
      <c r="N2264" s="37" t="s">
        <v>1443</v>
      </c>
      <c r="O2264" s="37" t="s">
        <v>8</v>
      </c>
      <c r="P2264" s="47" t="str">
        <f>IF(AND('331-CT'!$F$5=TH!H2264,OR(N2264="331",O2264="331")),"x","")</f>
        <v/>
      </c>
      <c r="Q2264" s="47" t="str">
        <f>IF(AND(B2264='111'!$L$11,OR($N2264=$Q$7,$O2264=$Q$7)),"x","")</f>
        <v/>
      </c>
      <c r="R2264" s="47" t="str">
        <f>IF(AND($N2264=$Q$7,$B2264&lt;'111'!$L$11),"x","")</f>
        <v/>
      </c>
      <c r="S2264" s="47" t="str">
        <f>IF(AND($O2264=$Q$7,$B2264&lt;'111'!$L$11),"x","")</f>
        <v/>
      </c>
    </row>
    <row r="2265" spans="1:19" ht="15.75" customHeight="1">
      <c r="A2265" s="152" t="str">
        <f>IF(B2265&lt;&gt;"",IF(AND(B2265='IN-TC'!$S$4,OR(TH!N2265="1111",TH!O2265="1111")),TH!D2265,""),"")</f>
        <v/>
      </c>
      <c r="B2265" s="34">
        <f t="shared" si="89"/>
        <v>1</v>
      </c>
      <c r="C2265" s="35">
        <f t="shared" si="90"/>
        <v>0</v>
      </c>
      <c r="D2265" s="212"/>
      <c r="E2265" s="35"/>
      <c r="F2265" s="144"/>
      <c r="G2265" s="191"/>
      <c r="H2265" s="198"/>
      <c r="I2265" s="186"/>
      <c r="J2265" s="186"/>
      <c r="K2265" s="185"/>
      <c r="L2265" s="186"/>
      <c r="M2265" s="36">
        <f t="shared" si="91"/>
        <v>0</v>
      </c>
      <c r="N2265" s="37" t="s">
        <v>1443</v>
      </c>
      <c r="O2265" s="37" t="s">
        <v>8</v>
      </c>
      <c r="P2265" s="47" t="str">
        <f>IF(AND('331-CT'!$F$5=TH!H2265,OR(N2265="331",O2265="331")),"x","")</f>
        <v/>
      </c>
      <c r="Q2265" s="47" t="str">
        <f>IF(AND(B2265='111'!$L$11,OR($N2265=$Q$7,$O2265=$Q$7)),"x","")</f>
        <v/>
      </c>
      <c r="R2265" s="47" t="str">
        <f>IF(AND($N2265=$Q$7,$B2265&lt;'111'!$L$11),"x","")</f>
        <v/>
      </c>
      <c r="S2265" s="47" t="str">
        <f>IF(AND($O2265=$Q$7,$B2265&lt;'111'!$L$11),"x","")</f>
        <v/>
      </c>
    </row>
    <row r="2266" spans="1:19" ht="15.75" customHeight="1">
      <c r="A2266" s="152" t="str">
        <f>IF(B2266&lt;&gt;"",IF(AND(B2266='IN-TC'!$S$4,OR(TH!N2266="1111",TH!O2266="1111")),TH!D2266,""),"")</f>
        <v/>
      </c>
      <c r="B2266" s="34">
        <f t="shared" si="89"/>
        <v>1</v>
      </c>
      <c r="C2266" s="35">
        <f t="shared" si="90"/>
        <v>0</v>
      </c>
      <c r="D2266" s="212"/>
      <c r="E2266" s="35"/>
      <c r="F2266" s="144"/>
      <c r="G2266" s="191"/>
      <c r="H2266" s="198"/>
      <c r="I2266" s="186"/>
      <c r="J2266" s="186"/>
      <c r="K2266" s="185"/>
      <c r="L2266" s="186"/>
      <c r="M2266" s="36">
        <f t="shared" si="91"/>
        <v>0</v>
      </c>
      <c r="N2266" s="37" t="s">
        <v>1443</v>
      </c>
      <c r="O2266" s="37" t="s">
        <v>8</v>
      </c>
      <c r="P2266" s="47" t="str">
        <f>IF(AND('331-CT'!$F$5=TH!H2266,OR(N2266="331",O2266="331")),"x","")</f>
        <v/>
      </c>
      <c r="Q2266" s="47" t="str">
        <f>IF(AND(B2266='111'!$L$11,OR($N2266=$Q$7,$O2266=$Q$7)),"x","")</f>
        <v/>
      </c>
      <c r="R2266" s="47" t="str">
        <f>IF(AND($N2266=$Q$7,$B2266&lt;'111'!$L$11),"x","")</f>
        <v/>
      </c>
      <c r="S2266" s="47" t="str">
        <f>IF(AND($O2266=$Q$7,$B2266&lt;'111'!$L$11),"x","")</f>
        <v/>
      </c>
    </row>
    <row r="2267" spans="1:19" ht="15.75" customHeight="1">
      <c r="A2267" s="152" t="str">
        <f>IF(B2267&lt;&gt;"",IF(AND(B2267='IN-TC'!$S$4,OR(TH!N2267="1111",TH!O2267="1111")),TH!D2267,""),"")</f>
        <v/>
      </c>
      <c r="B2267" s="34">
        <f t="shared" si="89"/>
        <v>1</v>
      </c>
      <c r="C2267" s="35">
        <f t="shared" si="90"/>
        <v>0</v>
      </c>
      <c r="D2267" s="212"/>
      <c r="E2267" s="35"/>
      <c r="F2267" s="144"/>
      <c r="G2267" s="191"/>
      <c r="H2267" s="198"/>
      <c r="I2267" s="186"/>
      <c r="J2267" s="186"/>
      <c r="K2267" s="185"/>
      <c r="L2267" s="186"/>
      <c r="M2267" s="36">
        <f t="shared" si="91"/>
        <v>0</v>
      </c>
      <c r="N2267" s="37" t="s">
        <v>1443</v>
      </c>
      <c r="O2267" s="37" t="s">
        <v>8</v>
      </c>
      <c r="P2267" s="47" t="str">
        <f>IF(AND('331-CT'!$F$5=TH!H2267,OR(N2267="331",O2267="331")),"x","")</f>
        <v/>
      </c>
      <c r="Q2267" s="47" t="str">
        <f>IF(AND(B2267='111'!$L$11,OR($N2267=$Q$7,$O2267=$Q$7)),"x","")</f>
        <v/>
      </c>
      <c r="R2267" s="47" t="str">
        <f>IF(AND($N2267=$Q$7,$B2267&lt;'111'!$L$11),"x","")</f>
        <v/>
      </c>
      <c r="S2267" s="47" t="str">
        <f>IF(AND($O2267=$Q$7,$B2267&lt;'111'!$L$11),"x","")</f>
        <v/>
      </c>
    </row>
    <row r="2268" spans="1:19" ht="15.75" customHeight="1">
      <c r="A2268" s="152" t="str">
        <f>IF(B2268&lt;&gt;"",IF(AND(B2268='IN-TC'!$S$4,OR(TH!N2268="1111",TH!O2268="1111")),TH!D2268,""),"")</f>
        <v/>
      </c>
      <c r="B2268" s="34">
        <f t="shared" si="89"/>
        <v>1</v>
      </c>
      <c r="C2268" s="35">
        <f t="shared" si="90"/>
        <v>0</v>
      </c>
      <c r="D2268" s="212"/>
      <c r="E2268" s="35"/>
      <c r="F2268" s="144"/>
      <c r="G2268" s="191"/>
      <c r="H2268" s="198"/>
      <c r="I2268" s="186"/>
      <c r="J2268" s="186"/>
      <c r="K2268" s="185"/>
      <c r="L2268" s="186"/>
      <c r="M2268" s="36">
        <f t="shared" si="91"/>
        <v>0</v>
      </c>
      <c r="N2268" s="37" t="s">
        <v>1443</v>
      </c>
      <c r="O2268" s="37" t="s">
        <v>8</v>
      </c>
      <c r="P2268" s="47" t="str">
        <f>IF(AND('331-CT'!$F$5=TH!H2268,OR(N2268="331",O2268="331")),"x","")</f>
        <v/>
      </c>
      <c r="Q2268" s="47" t="str">
        <f>IF(AND(B2268='111'!$L$11,OR($N2268=$Q$7,$O2268=$Q$7)),"x","")</f>
        <v/>
      </c>
      <c r="R2268" s="47" t="str">
        <f>IF(AND($N2268=$Q$7,$B2268&lt;'111'!$L$11),"x","")</f>
        <v/>
      </c>
      <c r="S2268" s="47" t="str">
        <f>IF(AND($O2268=$Q$7,$B2268&lt;'111'!$L$11),"x","")</f>
        <v/>
      </c>
    </row>
    <row r="2269" spans="1:19" ht="15.75" customHeight="1">
      <c r="A2269" s="152" t="str">
        <f>IF(B2269&lt;&gt;"",IF(AND(B2269='IN-TC'!$S$4,OR(TH!N2269="1111",TH!O2269="1111")),TH!D2269,""),"")</f>
        <v/>
      </c>
      <c r="B2269" s="34">
        <f t="shared" si="89"/>
        <v>1</v>
      </c>
      <c r="C2269" s="35">
        <f t="shared" si="90"/>
        <v>0</v>
      </c>
      <c r="D2269" s="212"/>
      <c r="E2269" s="35"/>
      <c r="F2269" s="144"/>
      <c r="G2269" s="191"/>
      <c r="H2269" s="198"/>
      <c r="I2269" s="186"/>
      <c r="J2269" s="186"/>
      <c r="K2269" s="185"/>
      <c r="L2269" s="186"/>
      <c r="M2269" s="36">
        <f t="shared" si="91"/>
        <v>0</v>
      </c>
      <c r="N2269" s="37" t="s">
        <v>1443</v>
      </c>
      <c r="O2269" s="37" t="s">
        <v>8</v>
      </c>
      <c r="P2269" s="47" t="str">
        <f>IF(AND('331-CT'!$F$5=TH!H2269,OR(N2269="331",O2269="331")),"x","")</f>
        <v/>
      </c>
      <c r="Q2269" s="47" t="str">
        <f>IF(AND(B2269='111'!$L$11,OR($N2269=$Q$7,$O2269=$Q$7)),"x","")</f>
        <v/>
      </c>
      <c r="R2269" s="47" t="str">
        <f>IF(AND($N2269=$Q$7,$B2269&lt;'111'!$L$11),"x","")</f>
        <v/>
      </c>
      <c r="S2269" s="47" t="str">
        <f>IF(AND($O2269=$Q$7,$B2269&lt;'111'!$L$11),"x","")</f>
        <v/>
      </c>
    </row>
    <row r="2270" spans="1:19" ht="15.75" customHeight="1">
      <c r="A2270" s="152" t="str">
        <f>IF(B2270&lt;&gt;"",IF(AND(B2270='IN-TC'!$S$4,OR(TH!N2270="1111",TH!O2270="1111")),TH!D2270,""),"")</f>
        <v/>
      </c>
      <c r="B2270" s="34">
        <f t="shared" si="89"/>
        <v>1</v>
      </c>
      <c r="C2270" s="35">
        <f t="shared" si="90"/>
        <v>0</v>
      </c>
      <c r="D2270" s="212"/>
      <c r="E2270" s="35"/>
      <c r="F2270" s="144"/>
      <c r="G2270" s="191"/>
      <c r="H2270" s="198"/>
      <c r="I2270" s="186"/>
      <c r="J2270" s="186"/>
      <c r="K2270" s="185"/>
      <c r="L2270" s="186"/>
      <c r="M2270" s="36">
        <f t="shared" si="91"/>
        <v>0</v>
      </c>
      <c r="N2270" s="37" t="s">
        <v>1443</v>
      </c>
      <c r="O2270" s="37" t="s">
        <v>8</v>
      </c>
      <c r="P2270" s="47" t="str">
        <f>IF(AND('331-CT'!$F$5=TH!H2270,OR(N2270="331",O2270="331")),"x","")</f>
        <v/>
      </c>
      <c r="Q2270" s="47" t="str">
        <f>IF(AND(B2270='111'!$L$11,OR($N2270=$Q$7,$O2270=$Q$7)),"x","")</f>
        <v/>
      </c>
      <c r="R2270" s="47" t="str">
        <f>IF(AND($N2270=$Q$7,$B2270&lt;'111'!$L$11),"x","")</f>
        <v/>
      </c>
      <c r="S2270" s="47" t="str">
        <f>IF(AND($O2270=$Q$7,$B2270&lt;'111'!$L$11),"x","")</f>
        <v/>
      </c>
    </row>
    <row r="2271" spans="1:19" ht="15.75" customHeight="1">
      <c r="A2271" s="152" t="str">
        <f>IF(B2271&lt;&gt;"",IF(AND(B2271='IN-TC'!$S$4,OR(TH!N2271="1111",TH!O2271="1111")),TH!D2271,""),"")</f>
        <v/>
      </c>
      <c r="B2271" s="34">
        <f t="shared" si="89"/>
        <v>1</v>
      </c>
      <c r="C2271" s="35">
        <f t="shared" si="90"/>
        <v>0</v>
      </c>
      <c r="D2271" s="212"/>
      <c r="E2271" s="35"/>
      <c r="F2271" s="144"/>
      <c r="G2271" s="191"/>
      <c r="H2271" s="198"/>
      <c r="I2271" s="186"/>
      <c r="J2271" s="186"/>
      <c r="K2271" s="185"/>
      <c r="L2271" s="186"/>
      <c r="M2271" s="36">
        <f t="shared" si="91"/>
        <v>0</v>
      </c>
      <c r="N2271" s="37" t="s">
        <v>1443</v>
      </c>
      <c r="O2271" s="37" t="s">
        <v>8</v>
      </c>
      <c r="P2271" s="47" t="str">
        <f>IF(AND('331-CT'!$F$5=TH!H2271,OR(N2271="331",O2271="331")),"x","")</f>
        <v/>
      </c>
      <c r="Q2271" s="47" t="str">
        <f>IF(AND(B2271='111'!$L$11,OR($N2271=$Q$7,$O2271=$Q$7)),"x","")</f>
        <v/>
      </c>
      <c r="R2271" s="47" t="str">
        <f>IF(AND($N2271=$Q$7,$B2271&lt;'111'!$L$11),"x","")</f>
        <v/>
      </c>
      <c r="S2271" s="47" t="str">
        <f>IF(AND($O2271=$Q$7,$B2271&lt;'111'!$L$11),"x","")</f>
        <v/>
      </c>
    </row>
    <row r="2272" spans="1:19" ht="15.75" customHeight="1">
      <c r="A2272" s="152" t="str">
        <f>IF(B2272&lt;&gt;"",IF(AND(B2272='IN-TC'!$S$4,OR(TH!N2272="1111",TH!O2272="1111")),TH!D2272,""),"")</f>
        <v/>
      </c>
      <c r="B2272" s="34">
        <f t="shared" si="89"/>
        <v>1</v>
      </c>
      <c r="C2272" s="35">
        <f t="shared" si="90"/>
        <v>0</v>
      </c>
      <c r="D2272" s="212"/>
      <c r="E2272" s="35"/>
      <c r="F2272" s="144"/>
      <c r="G2272" s="191"/>
      <c r="H2272" s="198"/>
      <c r="I2272" s="186"/>
      <c r="J2272" s="186"/>
      <c r="K2272" s="185"/>
      <c r="L2272" s="186"/>
      <c r="M2272" s="36">
        <f t="shared" si="91"/>
        <v>0</v>
      </c>
      <c r="N2272" s="37" t="s">
        <v>1443</v>
      </c>
      <c r="O2272" s="37" t="s">
        <v>8</v>
      </c>
      <c r="P2272" s="47" t="str">
        <f>IF(AND('331-CT'!$F$5=TH!H2272,OR(N2272="331",O2272="331")),"x","")</f>
        <v/>
      </c>
      <c r="Q2272" s="47" t="str">
        <f>IF(AND(B2272='111'!$L$11,OR($N2272=$Q$7,$O2272=$Q$7)),"x","")</f>
        <v/>
      </c>
      <c r="R2272" s="47" t="str">
        <f>IF(AND($N2272=$Q$7,$B2272&lt;'111'!$L$11),"x","")</f>
        <v/>
      </c>
      <c r="S2272" s="47" t="str">
        <f>IF(AND($O2272=$Q$7,$B2272&lt;'111'!$L$11),"x","")</f>
        <v/>
      </c>
    </row>
    <row r="2273" spans="1:19" ht="15.75" customHeight="1">
      <c r="A2273" s="152" t="str">
        <f>IF(B2273&lt;&gt;"",IF(AND(B2273='IN-TC'!$S$4,OR(TH!N2273="1111",TH!O2273="1111")),TH!D2273,""),"")</f>
        <v/>
      </c>
      <c r="B2273" s="34">
        <f t="shared" si="89"/>
        <v>1</v>
      </c>
      <c r="C2273" s="35">
        <f t="shared" si="90"/>
        <v>0</v>
      </c>
      <c r="D2273" s="212"/>
      <c r="E2273" s="35"/>
      <c r="F2273" s="144"/>
      <c r="G2273" s="191"/>
      <c r="H2273" s="198"/>
      <c r="I2273" s="186"/>
      <c r="J2273" s="186"/>
      <c r="K2273" s="185"/>
      <c r="L2273" s="186"/>
      <c r="M2273" s="36">
        <f t="shared" si="91"/>
        <v>0</v>
      </c>
      <c r="N2273" s="37" t="s">
        <v>1443</v>
      </c>
      <c r="O2273" s="37" t="s">
        <v>8</v>
      </c>
      <c r="P2273" s="47" t="str">
        <f>IF(AND('331-CT'!$F$5=TH!H2273,OR(N2273="331",O2273="331")),"x","")</f>
        <v/>
      </c>
      <c r="Q2273" s="47" t="str">
        <f>IF(AND(B2273='111'!$L$11,OR($N2273=$Q$7,$O2273=$Q$7)),"x","")</f>
        <v/>
      </c>
      <c r="R2273" s="47" t="str">
        <f>IF(AND($N2273=$Q$7,$B2273&lt;'111'!$L$11),"x","")</f>
        <v/>
      </c>
      <c r="S2273" s="47" t="str">
        <f>IF(AND($O2273=$Q$7,$B2273&lt;'111'!$L$11),"x","")</f>
        <v/>
      </c>
    </row>
    <row r="2274" spans="1:19" ht="15.75" customHeight="1">
      <c r="A2274" s="152" t="str">
        <f>IF(B2274&lt;&gt;"",IF(AND(B2274='IN-TC'!$S$4,OR(TH!N2274="1111",TH!O2274="1111")),TH!D2274,""),"")</f>
        <v/>
      </c>
      <c r="B2274" s="34">
        <f t="shared" si="89"/>
        <v>1</v>
      </c>
      <c r="C2274" s="35">
        <f t="shared" si="90"/>
        <v>0</v>
      </c>
      <c r="D2274" s="212"/>
      <c r="E2274" s="35"/>
      <c r="F2274" s="144"/>
      <c r="G2274" s="191"/>
      <c r="H2274" s="198"/>
      <c r="I2274" s="186"/>
      <c r="J2274" s="186"/>
      <c r="K2274" s="185"/>
      <c r="L2274" s="186"/>
      <c r="M2274" s="36">
        <f t="shared" si="91"/>
        <v>0</v>
      </c>
      <c r="N2274" s="37" t="s">
        <v>1443</v>
      </c>
      <c r="O2274" s="37" t="s">
        <v>8</v>
      </c>
      <c r="P2274" s="47" t="str">
        <f>IF(AND('331-CT'!$F$5=TH!H2274,OR(N2274="331",O2274="331")),"x","")</f>
        <v/>
      </c>
      <c r="Q2274" s="47" t="str">
        <f>IF(AND(B2274='111'!$L$11,OR($N2274=$Q$7,$O2274=$Q$7)),"x","")</f>
        <v/>
      </c>
      <c r="R2274" s="47" t="str">
        <f>IF(AND($N2274=$Q$7,$B2274&lt;'111'!$L$11),"x","")</f>
        <v/>
      </c>
      <c r="S2274" s="47" t="str">
        <f>IF(AND($O2274=$Q$7,$B2274&lt;'111'!$L$11),"x","")</f>
        <v/>
      </c>
    </row>
    <row r="2275" spans="1:19" ht="15.75" customHeight="1">
      <c r="A2275" s="152" t="str">
        <f>IF(B2275&lt;&gt;"",IF(AND(B2275='IN-TC'!$S$4,OR(TH!N2275="1111",TH!O2275="1111")),TH!D2275,""),"")</f>
        <v/>
      </c>
      <c r="B2275" s="34">
        <f t="shared" si="89"/>
        <v>1</v>
      </c>
      <c r="C2275" s="35">
        <f t="shared" si="90"/>
        <v>0</v>
      </c>
      <c r="D2275" s="212"/>
      <c r="E2275" s="35"/>
      <c r="F2275" s="144"/>
      <c r="G2275" s="191"/>
      <c r="H2275" s="198"/>
      <c r="I2275" s="186"/>
      <c r="J2275" s="186"/>
      <c r="K2275" s="185"/>
      <c r="L2275" s="186"/>
      <c r="M2275" s="36">
        <f t="shared" si="91"/>
        <v>0</v>
      </c>
      <c r="N2275" s="37" t="s">
        <v>1443</v>
      </c>
      <c r="O2275" s="37" t="s">
        <v>8</v>
      </c>
      <c r="P2275" s="47" t="str">
        <f>IF(AND('331-CT'!$F$5=TH!H2275,OR(N2275="331",O2275="331")),"x","")</f>
        <v/>
      </c>
      <c r="Q2275" s="47" t="str">
        <f>IF(AND(B2275='111'!$L$11,OR($N2275=$Q$7,$O2275=$Q$7)),"x","")</f>
        <v/>
      </c>
      <c r="R2275" s="47" t="str">
        <f>IF(AND($N2275=$Q$7,$B2275&lt;'111'!$L$11),"x","")</f>
        <v/>
      </c>
      <c r="S2275" s="47" t="str">
        <f>IF(AND($O2275=$Q$7,$B2275&lt;'111'!$L$11),"x","")</f>
        <v/>
      </c>
    </row>
    <row r="2276" spans="1:19" ht="15.75" customHeight="1">
      <c r="A2276" s="152" t="str">
        <f>IF(B2276&lt;&gt;"",IF(AND(B2276='IN-TC'!$S$4,OR(TH!N2276="1111",TH!O2276="1111")),TH!D2276,""),"")</f>
        <v/>
      </c>
      <c r="B2276" s="34">
        <f t="shared" si="89"/>
        <v>1</v>
      </c>
      <c r="C2276" s="35">
        <f t="shared" si="90"/>
        <v>0</v>
      </c>
      <c r="D2276" s="212"/>
      <c r="E2276" s="35"/>
      <c r="F2276" s="144"/>
      <c r="G2276" s="191"/>
      <c r="H2276" s="198"/>
      <c r="I2276" s="186"/>
      <c r="J2276" s="186"/>
      <c r="K2276" s="185"/>
      <c r="L2276" s="186"/>
      <c r="M2276" s="36">
        <f t="shared" si="91"/>
        <v>0</v>
      </c>
      <c r="N2276" s="37" t="s">
        <v>1443</v>
      </c>
      <c r="O2276" s="37" t="s">
        <v>8</v>
      </c>
      <c r="P2276" s="47" t="str">
        <f>IF(AND('331-CT'!$F$5=TH!H2276,OR(N2276="331",O2276="331")),"x","")</f>
        <v/>
      </c>
      <c r="Q2276" s="47" t="str">
        <f>IF(AND(B2276='111'!$L$11,OR($N2276=$Q$7,$O2276=$Q$7)),"x","")</f>
        <v/>
      </c>
      <c r="R2276" s="47" t="str">
        <f>IF(AND($N2276=$Q$7,$B2276&lt;'111'!$L$11),"x","")</f>
        <v/>
      </c>
      <c r="S2276" s="47" t="str">
        <f>IF(AND($O2276=$Q$7,$B2276&lt;'111'!$L$11),"x","")</f>
        <v/>
      </c>
    </row>
    <row r="2277" spans="1:19" ht="15.75" customHeight="1">
      <c r="A2277" s="152" t="str">
        <f>IF(B2277&lt;&gt;"",IF(AND(B2277='IN-TC'!$S$4,OR(TH!N2277="1111",TH!O2277="1111")),TH!D2277,""),"")</f>
        <v/>
      </c>
      <c r="B2277" s="34">
        <f t="shared" si="89"/>
        <v>1</v>
      </c>
      <c r="C2277" s="35">
        <f t="shared" si="90"/>
        <v>0</v>
      </c>
      <c r="D2277" s="212"/>
      <c r="E2277" s="35"/>
      <c r="F2277" s="144"/>
      <c r="G2277" s="191"/>
      <c r="H2277" s="198"/>
      <c r="I2277" s="186"/>
      <c r="J2277" s="186"/>
      <c r="K2277" s="185"/>
      <c r="L2277" s="186"/>
      <c r="M2277" s="36">
        <f t="shared" si="91"/>
        <v>0</v>
      </c>
      <c r="N2277" s="37" t="s">
        <v>1443</v>
      </c>
      <c r="O2277" s="37" t="s">
        <v>8</v>
      </c>
      <c r="P2277" s="47" t="str">
        <f>IF(AND('331-CT'!$F$5=TH!H2277,OR(N2277="331",O2277="331")),"x","")</f>
        <v/>
      </c>
      <c r="Q2277" s="47" t="str">
        <f>IF(AND(B2277='111'!$L$11,OR($N2277=$Q$7,$O2277=$Q$7)),"x","")</f>
        <v/>
      </c>
      <c r="R2277" s="47" t="str">
        <f>IF(AND($N2277=$Q$7,$B2277&lt;'111'!$L$11),"x","")</f>
        <v/>
      </c>
      <c r="S2277" s="47" t="str">
        <f>IF(AND($O2277=$Q$7,$B2277&lt;'111'!$L$11),"x","")</f>
        <v/>
      </c>
    </row>
    <row r="2278" spans="1:19" ht="15.75" customHeight="1">
      <c r="A2278" s="152" t="str">
        <f>IF(B2278&lt;&gt;"",IF(AND(B2278='IN-TC'!$S$4,OR(TH!N2278="1111",TH!O2278="1111")),TH!D2278,""),"")</f>
        <v/>
      </c>
      <c r="B2278" s="34">
        <f t="shared" si="89"/>
        <v>1</v>
      </c>
      <c r="C2278" s="35">
        <f t="shared" si="90"/>
        <v>0</v>
      </c>
      <c r="D2278" s="212"/>
      <c r="E2278" s="35"/>
      <c r="F2278" s="144"/>
      <c r="G2278" s="191"/>
      <c r="H2278" s="198"/>
      <c r="I2278" s="186"/>
      <c r="J2278" s="186"/>
      <c r="K2278" s="185"/>
      <c r="L2278" s="186"/>
      <c r="M2278" s="36">
        <f t="shared" si="91"/>
        <v>0</v>
      </c>
      <c r="N2278" s="37" t="s">
        <v>1443</v>
      </c>
      <c r="O2278" s="37" t="s">
        <v>8</v>
      </c>
      <c r="P2278" s="47" t="str">
        <f>IF(AND('331-CT'!$F$5=TH!H2278,OR(N2278="331",O2278="331")),"x","")</f>
        <v/>
      </c>
      <c r="Q2278" s="47" t="str">
        <f>IF(AND(B2278='111'!$L$11,OR($N2278=$Q$7,$O2278=$Q$7)),"x","")</f>
        <v/>
      </c>
      <c r="R2278" s="47" t="str">
        <f>IF(AND($N2278=$Q$7,$B2278&lt;'111'!$L$11),"x","")</f>
        <v/>
      </c>
      <c r="S2278" s="47" t="str">
        <f>IF(AND($O2278=$Q$7,$B2278&lt;'111'!$L$11),"x","")</f>
        <v/>
      </c>
    </row>
    <row r="2279" spans="1:19" ht="15.75" customHeight="1">
      <c r="A2279" s="152" t="str">
        <f>IF(B2279&lt;&gt;"",IF(AND(B2279='IN-TC'!$S$4,OR(TH!N2279="1111",TH!O2279="1111")),TH!D2279,""),"")</f>
        <v/>
      </c>
      <c r="B2279" s="34">
        <f t="shared" ref="B2279:B2342" si="92">IF(C2279&lt;&gt;"",MONTH(C2279),"")</f>
        <v>1</v>
      </c>
      <c r="C2279" s="35">
        <f t="shared" ref="C2279:C2342" si="93">E2279</f>
        <v>0</v>
      </c>
      <c r="D2279" s="212"/>
      <c r="E2279" s="35"/>
      <c r="F2279" s="144"/>
      <c r="G2279" s="191"/>
      <c r="H2279" s="198"/>
      <c r="I2279" s="186"/>
      <c r="J2279" s="186"/>
      <c r="K2279" s="185"/>
      <c r="L2279" s="186"/>
      <c r="M2279" s="36">
        <f t="shared" si="91"/>
        <v>0</v>
      </c>
      <c r="N2279" s="37" t="s">
        <v>1443</v>
      </c>
      <c r="O2279" s="37" t="s">
        <v>8</v>
      </c>
      <c r="P2279" s="47" t="str">
        <f>IF(AND('331-CT'!$F$5=TH!H2279,OR(N2279="331",O2279="331")),"x","")</f>
        <v/>
      </c>
      <c r="Q2279" s="47" t="str">
        <f>IF(AND(B2279='111'!$L$11,OR($N2279=$Q$7,$O2279=$Q$7)),"x","")</f>
        <v/>
      </c>
      <c r="R2279" s="47" t="str">
        <f>IF(AND($N2279=$Q$7,$B2279&lt;'111'!$L$11),"x","")</f>
        <v/>
      </c>
      <c r="S2279" s="47" t="str">
        <f>IF(AND($O2279=$Q$7,$B2279&lt;'111'!$L$11),"x","")</f>
        <v/>
      </c>
    </row>
    <row r="2280" spans="1:19" ht="15.75" customHeight="1">
      <c r="A2280" s="152" t="str">
        <f>IF(B2280&lt;&gt;"",IF(AND(B2280='IN-TC'!$S$4,OR(TH!N2280="1111",TH!O2280="1111")),TH!D2280,""),"")</f>
        <v/>
      </c>
      <c r="B2280" s="34">
        <f t="shared" si="92"/>
        <v>1</v>
      </c>
      <c r="C2280" s="35">
        <f t="shared" si="93"/>
        <v>0</v>
      </c>
      <c r="D2280" s="212"/>
      <c r="E2280" s="35"/>
      <c r="F2280" s="144"/>
      <c r="G2280" s="191"/>
      <c r="H2280" s="198"/>
      <c r="I2280" s="186"/>
      <c r="J2280" s="186"/>
      <c r="K2280" s="185"/>
      <c r="L2280" s="186"/>
      <c r="M2280" s="36">
        <f t="shared" si="91"/>
        <v>0</v>
      </c>
      <c r="N2280" s="37" t="s">
        <v>1443</v>
      </c>
      <c r="O2280" s="37" t="s">
        <v>8</v>
      </c>
      <c r="P2280" s="47" t="str">
        <f>IF(AND('331-CT'!$F$5=TH!H2280,OR(N2280="331",O2280="331")),"x","")</f>
        <v/>
      </c>
      <c r="Q2280" s="47" t="str">
        <f>IF(AND(B2280='111'!$L$11,OR($N2280=$Q$7,$O2280=$Q$7)),"x","")</f>
        <v/>
      </c>
      <c r="R2280" s="47" t="str">
        <f>IF(AND($N2280=$Q$7,$B2280&lt;'111'!$L$11),"x","")</f>
        <v/>
      </c>
      <c r="S2280" s="47" t="str">
        <f>IF(AND($O2280=$Q$7,$B2280&lt;'111'!$L$11),"x","")</f>
        <v/>
      </c>
    </row>
    <row r="2281" spans="1:19" ht="15.75" customHeight="1">
      <c r="A2281" s="152" t="str">
        <f>IF(B2281&lt;&gt;"",IF(AND(B2281='IN-TC'!$S$4,OR(TH!N2281="1111",TH!O2281="1111")),TH!D2281,""),"")</f>
        <v/>
      </c>
      <c r="B2281" s="34">
        <f t="shared" si="92"/>
        <v>1</v>
      </c>
      <c r="C2281" s="35">
        <f t="shared" si="93"/>
        <v>0</v>
      </c>
      <c r="D2281" s="212"/>
      <c r="E2281" s="35"/>
      <c r="F2281" s="144"/>
      <c r="G2281" s="191"/>
      <c r="H2281" s="198"/>
      <c r="I2281" s="186"/>
      <c r="J2281" s="186"/>
      <c r="K2281" s="185"/>
      <c r="L2281" s="186"/>
      <c r="M2281" s="36">
        <f t="shared" si="91"/>
        <v>0</v>
      </c>
      <c r="N2281" s="37" t="s">
        <v>1443</v>
      </c>
      <c r="O2281" s="37" t="s">
        <v>8</v>
      </c>
      <c r="P2281" s="47" t="str">
        <f>IF(AND('331-CT'!$F$5=TH!H2281,OR(N2281="331",O2281="331")),"x","")</f>
        <v/>
      </c>
      <c r="Q2281" s="47" t="str">
        <f>IF(AND(B2281='111'!$L$11,OR($N2281=$Q$7,$O2281=$Q$7)),"x","")</f>
        <v/>
      </c>
      <c r="R2281" s="47" t="str">
        <f>IF(AND($N2281=$Q$7,$B2281&lt;'111'!$L$11),"x","")</f>
        <v/>
      </c>
      <c r="S2281" s="47" t="str">
        <f>IF(AND($O2281=$Q$7,$B2281&lt;'111'!$L$11),"x","")</f>
        <v/>
      </c>
    </row>
    <row r="2282" spans="1:19" ht="15.75" customHeight="1">
      <c r="A2282" s="152" t="str">
        <f>IF(B2282&lt;&gt;"",IF(AND(B2282='IN-TC'!$S$4,OR(TH!N2282="1111",TH!O2282="1111")),TH!D2282,""),"")</f>
        <v/>
      </c>
      <c r="B2282" s="34">
        <f t="shared" si="92"/>
        <v>1</v>
      </c>
      <c r="C2282" s="35">
        <f t="shared" si="93"/>
        <v>0</v>
      </c>
      <c r="D2282" s="212"/>
      <c r="E2282" s="35"/>
      <c r="F2282" s="144"/>
      <c r="G2282" s="191"/>
      <c r="H2282" s="198"/>
      <c r="I2282" s="186"/>
      <c r="J2282" s="186"/>
      <c r="K2282" s="185"/>
      <c r="L2282" s="186"/>
      <c r="M2282" s="36">
        <f t="shared" si="91"/>
        <v>0</v>
      </c>
      <c r="N2282" s="37" t="s">
        <v>1443</v>
      </c>
      <c r="O2282" s="37" t="s">
        <v>8</v>
      </c>
      <c r="P2282" s="47" t="str">
        <f>IF(AND('331-CT'!$F$5=TH!H2282,OR(N2282="331",O2282="331")),"x","")</f>
        <v/>
      </c>
      <c r="Q2282" s="47" t="str">
        <f>IF(AND(B2282='111'!$L$11,OR($N2282=$Q$7,$O2282=$Q$7)),"x","")</f>
        <v/>
      </c>
      <c r="R2282" s="47" t="str">
        <f>IF(AND($N2282=$Q$7,$B2282&lt;'111'!$L$11),"x","")</f>
        <v/>
      </c>
      <c r="S2282" s="47" t="str">
        <f>IF(AND($O2282=$Q$7,$B2282&lt;'111'!$L$11),"x","")</f>
        <v/>
      </c>
    </row>
    <row r="2283" spans="1:19" ht="15.75" customHeight="1">
      <c r="A2283" s="152" t="str">
        <f>IF(B2283&lt;&gt;"",IF(AND(B2283='IN-TC'!$S$4,OR(TH!N2283="1111",TH!O2283="1111")),TH!D2283,""),"")</f>
        <v/>
      </c>
      <c r="B2283" s="34">
        <f t="shared" si="92"/>
        <v>1</v>
      </c>
      <c r="C2283" s="35">
        <f t="shared" si="93"/>
        <v>0</v>
      </c>
      <c r="D2283" s="212"/>
      <c r="E2283" s="35"/>
      <c r="F2283" s="144"/>
      <c r="G2283" s="191"/>
      <c r="H2283" s="198"/>
      <c r="I2283" s="186"/>
      <c r="J2283" s="186"/>
      <c r="K2283" s="185"/>
      <c r="L2283" s="186"/>
      <c r="M2283" s="36">
        <f t="shared" si="91"/>
        <v>0</v>
      </c>
      <c r="N2283" s="37" t="s">
        <v>1443</v>
      </c>
      <c r="O2283" s="37" t="s">
        <v>8</v>
      </c>
      <c r="P2283" s="47" t="str">
        <f>IF(AND('331-CT'!$F$5=TH!H2283,OR(N2283="331",O2283="331")),"x","")</f>
        <v/>
      </c>
      <c r="Q2283" s="47" t="str">
        <f>IF(AND(B2283='111'!$L$11,OR($N2283=$Q$7,$O2283=$Q$7)),"x","")</f>
        <v/>
      </c>
      <c r="R2283" s="47" t="str">
        <f>IF(AND($N2283=$Q$7,$B2283&lt;'111'!$L$11),"x","")</f>
        <v/>
      </c>
      <c r="S2283" s="47" t="str">
        <f>IF(AND($O2283=$Q$7,$B2283&lt;'111'!$L$11),"x","")</f>
        <v/>
      </c>
    </row>
    <row r="2284" spans="1:19" ht="15.75" customHeight="1">
      <c r="A2284" s="152" t="str">
        <f>IF(B2284&lt;&gt;"",IF(AND(B2284='IN-TC'!$S$4,OR(TH!N2284="1111",TH!O2284="1111")),TH!D2284,""),"")</f>
        <v/>
      </c>
      <c r="B2284" s="34">
        <f t="shared" si="92"/>
        <v>1</v>
      </c>
      <c r="C2284" s="35">
        <f t="shared" si="93"/>
        <v>0</v>
      </c>
      <c r="D2284" s="212"/>
      <c r="E2284" s="35"/>
      <c r="F2284" s="144"/>
      <c r="G2284" s="191"/>
      <c r="H2284" s="198"/>
      <c r="I2284" s="186"/>
      <c r="J2284" s="186"/>
      <c r="K2284" s="185"/>
      <c r="L2284" s="186"/>
      <c r="M2284" s="36">
        <f t="shared" si="91"/>
        <v>0</v>
      </c>
      <c r="N2284" s="37" t="s">
        <v>1443</v>
      </c>
      <c r="O2284" s="37" t="s">
        <v>8</v>
      </c>
      <c r="P2284" s="47" t="str">
        <f>IF(AND('331-CT'!$F$5=TH!H2284,OR(N2284="331",O2284="331")),"x","")</f>
        <v/>
      </c>
      <c r="Q2284" s="47" t="str">
        <f>IF(AND(B2284='111'!$L$11,OR($N2284=$Q$7,$O2284=$Q$7)),"x","")</f>
        <v/>
      </c>
      <c r="R2284" s="47" t="str">
        <f>IF(AND($N2284=$Q$7,$B2284&lt;'111'!$L$11),"x","")</f>
        <v/>
      </c>
      <c r="S2284" s="47" t="str">
        <f>IF(AND($O2284=$Q$7,$B2284&lt;'111'!$L$11),"x","")</f>
        <v/>
      </c>
    </row>
    <row r="2285" spans="1:19" ht="15.75" customHeight="1">
      <c r="A2285" s="152" t="str">
        <f>IF(B2285&lt;&gt;"",IF(AND(B2285='IN-TC'!$S$4,OR(TH!N2285="1111",TH!O2285="1111")),TH!D2285,""),"")</f>
        <v/>
      </c>
      <c r="B2285" s="34">
        <f t="shared" si="92"/>
        <v>1</v>
      </c>
      <c r="C2285" s="35">
        <f t="shared" si="93"/>
        <v>0</v>
      </c>
      <c r="D2285" s="212"/>
      <c r="E2285" s="35"/>
      <c r="F2285" s="144"/>
      <c r="G2285" s="191"/>
      <c r="H2285" s="198"/>
      <c r="I2285" s="186"/>
      <c r="J2285" s="186"/>
      <c r="K2285" s="185"/>
      <c r="L2285" s="186"/>
      <c r="M2285" s="36">
        <f t="shared" si="91"/>
        <v>0</v>
      </c>
      <c r="N2285" s="37" t="s">
        <v>1443</v>
      </c>
      <c r="O2285" s="37" t="s">
        <v>8</v>
      </c>
      <c r="P2285" s="47" t="str">
        <f>IF(AND('331-CT'!$F$5=TH!H2285,OR(N2285="331",O2285="331")),"x","")</f>
        <v/>
      </c>
      <c r="Q2285" s="47" t="str">
        <f>IF(AND(B2285='111'!$L$11,OR($N2285=$Q$7,$O2285=$Q$7)),"x","")</f>
        <v/>
      </c>
      <c r="R2285" s="47" t="str">
        <f>IF(AND($N2285=$Q$7,$B2285&lt;'111'!$L$11),"x","")</f>
        <v/>
      </c>
      <c r="S2285" s="47" t="str">
        <f>IF(AND($O2285=$Q$7,$B2285&lt;'111'!$L$11),"x","")</f>
        <v/>
      </c>
    </row>
    <row r="2286" spans="1:19" ht="15.75" customHeight="1">
      <c r="A2286" s="152" t="str">
        <f>IF(B2286&lt;&gt;"",IF(AND(B2286='IN-TC'!$S$4,OR(TH!N2286="1111",TH!O2286="1111")),TH!D2286,""),"")</f>
        <v/>
      </c>
      <c r="B2286" s="34">
        <f t="shared" si="92"/>
        <v>1</v>
      </c>
      <c r="C2286" s="35">
        <f t="shared" si="93"/>
        <v>0</v>
      </c>
      <c r="D2286" s="212"/>
      <c r="E2286" s="35"/>
      <c r="F2286" s="144"/>
      <c r="G2286" s="191"/>
      <c r="H2286" s="198"/>
      <c r="I2286" s="186"/>
      <c r="J2286" s="186"/>
      <c r="K2286" s="185"/>
      <c r="L2286" s="186"/>
      <c r="M2286" s="36">
        <f t="shared" si="91"/>
        <v>0</v>
      </c>
      <c r="N2286" s="37" t="s">
        <v>1443</v>
      </c>
      <c r="O2286" s="37" t="s">
        <v>8</v>
      </c>
      <c r="P2286" s="47" t="str">
        <f>IF(AND('331-CT'!$F$5=TH!H2286,OR(N2286="331",O2286="331")),"x","")</f>
        <v/>
      </c>
      <c r="Q2286" s="47" t="str">
        <f>IF(AND(B2286='111'!$L$11,OR($N2286=$Q$7,$O2286=$Q$7)),"x","")</f>
        <v/>
      </c>
      <c r="R2286" s="47" t="str">
        <f>IF(AND($N2286=$Q$7,$B2286&lt;'111'!$L$11),"x","")</f>
        <v/>
      </c>
      <c r="S2286" s="47" t="str">
        <f>IF(AND($O2286=$Q$7,$B2286&lt;'111'!$L$11),"x","")</f>
        <v/>
      </c>
    </row>
    <row r="2287" spans="1:19" ht="15.75" customHeight="1">
      <c r="A2287" s="152" t="str">
        <f>IF(B2287&lt;&gt;"",IF(AND(B2287='IN-TC'!$S$4,OR(TH!N2287="1111",TH!O2287="1111")),TH!D2287,""),"")</f>
        <v/>
      </c>
      <c r="B2287" s="34">
        <f t="shared" si="92"/>
        <v>1</v>
      </c>
      <c r="C2287" s="35">
        <f t="shared" si="93"/>
        <v>0</v>
      </c>
      <c r="D2287" s="212"/>
      <c r="E2287" s="35"/>
      <c r="F2287" s="144"/>
      <c r="G2287" s="191"/>
      <c r="H2287" s="198"/>
      <c r="I2287" s="186"/>
      <c r="J2287" s="186"/>
      <c r="K2287" s="185"/>
      <c r="L2287" s="186"/>
      <c r="M2287" s="36">
        <f t="shared" si="91"/>
        <v>0</v>
      </c>
      <c r="N2287" s="37" t="s">
        <v>1443</v>
      </c>
      <c r="O2287" s="37" t="s">
        <v>8</v>
      </c>
      <c r="P2287" s="47" t="str">
        <f>IF(AND('331-CT'!$F$5=TH!H2287,OR(N2287="331",O2287="331")),"x","")</f>
        <v/>
      </c>
      <c r="Q2287" s="47" t="str">
        <f>IF(AND(B2287='111'!$L$11,OR($N2287=$Q$7,$O2287=$Q$7)),"x","")</f>
        <v/>
      </c>
      <c r="R2287" s="47" t="str">
        <f>IF(AND($N2287=$Q$7,$B2287&lt;'111'!$L$11),"x","")</f>
        <v/>
      </c>
      <c r="S2287" s="47" t="str">
        <f>IF(AND($O2287=$Q$7,$B2287&lt;'111'!$L$11),"x","")</f>
        <v/>
      </c>
    </row>
    <row r="2288" spans="1:19" ht="15.75" customHeight="1">
      <c r="A2288" s="152" t="str">
        <f>IF(B2288&lt;&gt;"",IF(AND(B2288='IN-TC'!$S$4,OR(TH!N2288="1111",TH!O2288="1111")),TH!D2288,""),"")</f>
        <v/>
      </c>
      <c r="B2288" s="34">
        <f t="shared" si="92"/>
        <v>1</v>
      </c>
      <c r="C2288" s="35">
        <f t="shared" si="93"/>
        <v>0</v>
      </c>
      <c r="D2288" s="212"/>
      <c r="E2288" s="35"/>
      <c r="F2288" s="144"/>
      <c r="G2288" s="191"/>
      <c r="H2288" s="198"/>
      <c r="I2288" s="186"/>
      <c r="J2288" s="186"/>
      <c r="K2288" s="185"/>
      <c r="L2288" s="186"/>
      <c r="M2288" s="36">
        <f t="shared" si="91"/>
        <v>0</v>
      </c>
      <c r="N2288" s="37" t="s">
        <v>1443</v>
      </c>
      <c r="O2288" s="37" t="s">
        <v>8</v>
      </c>
      <c r="P2288" s="47" t="str">
        <f>IF(AND('331-CT'!$F$5=TH!H2288,OR(N2288="331",O2288="331")),"x","")</f>
        <v/>
      </c>
      <c r="Q2288" s="47" t="str">
        <f>IF(AND(B2288='111'!$L$11,OR($N2288=$Q$7,$O2288=$Q$7)),"x","")</f>
        <v/>
      </c>
      <c r="R2288" s="47" t="str">
        <f>IF(AND($N2288=$Q$7,$B2288&lt;'111'!$L$11),"x","")</f>
        <v/>
      </c>
      <c r="S2288" s="47" t="str">
        <f>IF(AND($O2288=$Q$7,$B2288&lt;'111'!$L$11),"x","")</f>
        <v/>
      </c>
    </row>
    <row r="2289" spans="1:19" ht="15.75" customHeight="1">
      <c r="A2289" s="152" t="str">
        <f>IF(B2289&lt;&gt;"",IF(AND(B2289='IN-TC'!$S$4,OR(TH!N2289="1111",TH!O2289="1111")),TH!D2289,""),"")</f>
        <v/>
      </c>
      <c r="B2289" s="34">
        <f t="shared" si="92"/>
        <v>1</v>
      </c>
      <c r="C2289" s="35">
        <f t="shared" si="93"/>
        <v>0</v>
      </c>
      <c r="D2289" s="212"/>
      <c r="E2289" s="35"/>
      <c r="F2289" s="144"/>
      <c r="G2289" s="191"/>
      <c r="H2289" s="198"/>
      <c r="I2289" s="186"/>
      <c r="J2289" s="186"/>
      <c r="K2289" s="185"/>
      <c r="L2289" s="186"/>
      <c r="M2289" s="36">
        <f t="shared" si="91"/>
        <v>0</v>
      </c>
      <c r="N2289" s="37" t="s">
        <v>1443</v>
      </c>
      <c r="O2289" s="37" t="s">
        <v>8</v>
      </c>
      <c r="P2289" s="47" t="str">
        <f>IF(AND('331-CT'!$F$5=TH!H2289,OR(N2289="331",O2289="331")),"x","")</f>
        <v/>
      </c>
      <c r="Q2289" s="47" t="str">
        <f>IF(AND(B2289='111'!$L$11,OR($N2289=$Q$7,$O2289=$Q$7)),"x","")</f>
        <v/>
      </c>
      <c r="R2289" s="47" t="str">
        <f>IF(AND($N2289=$Q$7,$B2289&lt;'111'!$L$11),"x","")</f>
        <v/>
      </c>
      <c r="S2289" s="47" t="str">
        <f>IF(AND($O2289=$Q$7,$B2289&lt;'111'!$L$11),"x","")</f>
        <v/>
      </c>
    </row>
    <row r="2290" spans="1:19" ht="15.75" customHeight="1">
      <c r="A2290" s="152" t="str">
        <f>IF(B2290&lt;&gt;"",IF(AND(B2290='IN-TC'!$S$4,OR(TH!N2290="1111",TH!O2290="1111")),TH!D2290,""),"")</f>
        <v/>
      </c>
      <c r="B2290" s="34">
        <f t="shared" si="92"/>
        <v>1</v>
      </c>
      <c r="C2290" s="35">
        <f t="shared" si="93"/>
        <v>0</v>
      </c>
      <c r="D2290" s="212"/>
      <c r="E2290" s="35"/>
      <c r="F2290" s="144"/>
      <c r="G2290" s="191"/>
      <c r="H2290" s="198"/>
      <c r="I2290" s="186"/>
      <c r="J2290" s="186"/>
      <c r="K2290" s="185"/>
      <c r="L2290" s="186"/>
      <c r="M2290" s="36">
        <f t="shared" si="91"/>
        <v>0</v>
      </c>
      <c r="N2290" s="37" t="s">
        <v>1443</v>
      </c>
      <c r="O2290" s="37" t="s">
        <v>8</v>
      </c>
      <c r="P2290" s="47" t="str">
        <f>IF(AND('331-CT'!$F$5=TH!H2290,OR(N2290="331",O2290="331")),"x","")</f>
        <v/>
      </c>
      <c r="Q2290" s="47" t="str">
        <f>IF(AND(B2290='111'!$L$11,OR($N2290=$Q$7,$O2290=$Q$7)),"x","")</f>
        <v/>
      </c>
      <c r="R2290" s="47" t="str">
        <f>IF(AND($N2290=$Q$7,$B2290&lt;'111'!$L$11),"x","")</f>
        <v/>
      </c>
      <c r="S2290" s="47" t="str">
        <f>IF(AND($O2290=$Q$7,$B2290&lt;'111'!$L$11),"x","")</f>
        <v/>
      </c>
    </row>
    <row r="2291" spans="1:19" ht="15.75" customHeight="1">
      <c r="A2291" s="152" t="str">
        <f>IF(B2291&lt;&gt;"",IF(AND(B2291='IN-TC'!$S$4,OR(TH!N2291="1111",TH!O2291="1111")),TH!D2291,""),"")</f>
        <v/>
      </c>
      <c r="B2291" s="34">
        <f t="shared" si="92"/>
        <v>1</v>
      </c>
      <c r="C2291" s="35">
        <f t="shared" si="93"/>
        <v>0</v>
      </c>
      <c r="D2291" s="212"/>
      <c r="E2291" s="35"/>
      <c r="F2291" s="144"/>
      <c r="G2291" s="191"/>
      <c r="H2291" s="198"/>
      <c r="I2291" s="186"/>
      <c r="J2291" s="186"/>
      <c r="K2291" s="185"/>
      <c r="L2291" s="186"/>
      <c r="M2291" s="36">
        <f t="shared" si="91"/>
        <v>0</v>
      </c>
      <c r="N2291" s="37" t="s">
        <v>1443</v>
      </c>
      <c r="O2291" s="37" t="s">
        <v>8</v>
      </c>
      <c r="P2291" s="47" t="str">
        <f>IF(AND('331-CT'!$F$5=TH!H2291,OR(N2291="331",O2291="331")),"x","")</f>
        <v/>
      </c>
      <c r="Q2291" s="47" t="str">
        <f>IF(AND(B2291='111'!$L$11,OR($N2291=$Q$7,$O2291=$Q$7)),"x","")</f>
        <v/>
      </c>
      <c r="R2291" s="47" t="str">
        <f>IF(AND($N2291=$Q$7,$B2291&lt;'111'!$L$11),"x","")</f>
        <v/>
      </c>
      <c r="S2291" s="47" t="str">
        <f>IF(AND($O2291=$Q$7,$B2291&lt;'111'!$L$11),"x","")</f>
        <v/>
      </c>
    </row>
    <row r="2292" spans="1:19" ht="15.75" customHeight="1">
      <c r="A2292" s="152" t="str">
        <f>IF(B2292&lt;&gt;"",IF(AND(B2292='IN-TC'!$S$4,OR(TH!N2292="1111",TH!O2292="1111")),TH!D2292,""),"")</f>
        <v/>
      </c>
      <c r="B2292" s="34">
        <f t="shared" si="92"/>
        <v>1</v>
      </c>
      <c r="C2292" s="35">
        <f t="shared" si="93"/>
        <v>0</v>
      </c>
      <c r="D2292" s="212"/>
      <c r="E2292" s="35"/>
      <c r="F2292" s="144"/>
      <c r="G2292" s="191"/>
      <c r="H2292" s="198"/>
      <c r="I2292" s="186"/>
      <c r="J2292" s="186"/>
      <c r="K2292" s="185"/>
      <c r="L2292" s="186"/>
      <c r="M2292" s="36">
        <f t="shared" si="91"/>
        <v>0</v>
      </c>
      <c r="N2292" s="37" t="s">
        <v>1443</v>
      </c>
      <c r="O2292" s="37" t="s">
        <v>8</v>
      </c>
      <c r="P2292" s="47" t="str">
        <f>IF(AND('331-CT'!$F$5=TH!H2292,OR(N2292="331",O2292="331")),"x","")</f>
        <v/>
      </c>
      <c r="Q2292" s="47" t="str">
        <f>IF(AND(B2292='111'!$L$11,OR($N2292=$Q$7,$O2292=$Q$7)),"x","")</f>
        <v/>
      </c>
      <c r="R2292" s="47" t="str">
        <f>IF(AND($N2292=$Q$7,$B2292&lt;'111'!$L$11),"x","")</f>
        <v/>
      </c>
      <c r="S2292" s="47" t="str">
        <f>IF(AND($O2292=$Q$7,$B2292&lt;'111'!$L$11),"x","")</f>
        <v/>
      </c>
    </row>
    <row r="2293" spans="1:19" ht="15.75" customHeight="1">
      <c r="A2293" s="152" t="str">
        <f>IF(B2293&lt;&gt;"",IF(AND(B2293='IN-TC'!$S$4,OR(TH!N2293="1111",TH!O2293="1111")),TH!D2293,""),"")</f>
        <v/>
      </c>
      <c r="B2293" s="34">
        <f t="shared" si="92"/>
        <v>1</v>
      </c>
      <c r="C2293" s="35">
        <f t="shared" si="93"/>
        <v>0</v>
      </c>
      <c r="D2293" s="212"/>
      <c r="E2293" s="35"/>
      <c r="F2293" s="144"/>
      <c r="G2293" s="191"/>
      <c r="H2293" s="198"/>
      <c r="I2293" s="186"/>
      <c r="J2293" s="186"/>
      <c r="K2293" s="185"/>
      <c r="L2293" s="186"/>
      <c r="M2293" s="36">
        <f t="shared" si="91"/>
        <v>0</v>
      </c>
      <c r="N2293" s="37" t="s">
        <v>1443</v>
      </c>
      <c r="O2293" s="37" t="s">
        <v>8</v>
      </c>
      <c r="P2293" s="47" t="str">
        <f>IF(AND('331-CT'!$F$5=TH!H2293,OR(N2293="331",O2293="331")),"x","")</f>
        <v/>
      </c>
      <c r="Q2293" s="47" t="str">
        <f>IF(AND(B2293='111'!$L$11,OR($N2293=$Q$7,$O2293=$Q$7)),"x","")</f>
        <v/>
      </c>
      <c r="R2293" s="47" t="str">
        <f>IF(AND($N2293=$Q$7,$B2293&lt;'111'!$L$11),"x","")</f>
        <v/>
      </c>
      <c r="S2293" s="47" t="str">
        <f>IF(AND($O2293=$Q$7,$B2293&lt;'111'!$L$11),"x","")</f>
        <v/>
      </c>
    </row>
    <row r="2294" spans="1:19" ht="15.75" customHeight="1">
      <c r="A2294" s="152" t="str">
        <f>IF(B2294&lt;&gt;"",IF(AND(B2294='IN-TC'!$S$4,OR(TH!N2294="1111",TH!O2294="1111")),TH!D2294,""),"")</f>
        <v/>
      </c>
      <c r="B2294" s="34">
        <f t="shared" si="92"/>
        <v>1</v>
      </c>
      <c r="C2294" s="35">
        <f t="shared" si="93"/>
        <v>0</v>
      </c>
      <c r="D2294" s="212"/>
      <c r="E2294" s="35"/>
      <c r="F2294" s="144"/>
      <c r="G2294" s="191"/>
      <c r="H2294" s="198"/>
      <c r="I2294" s="186"/>
      <c r="J2294" s="186"/>
      <c r="K2294" s="185"/>
      <c r="L2294" s="186"/>
      <c r="M2294" s="36">
        <f t="shared" si="91"/>
        <v>0</v>
      </c>
      <c r="N2294" s="37" t="s">
        <v>1443</v>
      </c>
      <c r="O2294" s="37" t="s">
        <v>8</v>
      </c>
      <c r="P2294" s="47" t="str">
        <f>IF(AND('331-CT'!$F$5=TH!H2294,OR(N2294="331",O2294="331")),"x","")</f>
        <v/>
      </c>
      <c r="Q2294" s="47" t="str">
        <f>IF(AND(B2294='111'!$L$11,OR($N2294=$Q$7,$O2294=$Q$7)),"x","")</f>
        <v/>
      </c>
      <c r="R2294" s="47" t="str">
        <f>IF(AND($N2294=$Q$7,$B2294&lt;'111'!$L$11),"x","")</f>
        <v/>
      </c>
      <c r="S2294" s="47" t="str">
        <f>IF(AND($O2294=$Q$7,$B2294&lt;'111'!$L$11),"x","")</f>
        <v/>
      </c>
    </row>
    <row r="2295" spans="1:19" ht="15.75" customHeight="1">
      <c r="A2295" s="152" t="str">
        <f>IF(B2295&lt;&gt;"",IF(AND(B2295='IN-TC'!$S$4,OR(TH!N2295="1111",TH!O2295="1111")),TH!D2295,""),"")</f>
        <v/>
      </c>
      <c r="B2295" s="34">
        <f t="shared" si="92"/>
        <v>1</v>
      </c>
      <c r="C2295" s="35">
        <f t="shared" si="93"/>
        <v>0</v>
      </c>
      <c r="D2295" s="212"/>
      <c r="E2295" s="35"/>
      <c r="F2295" s="144"/>
      <c r="G2295" s="191"/>
      <c r="H2295" s="198"/>
      <c r="I2295" s="186"/>
      <c r="J2295" s="186"/>
      <c r="K2295" s="185"/>
      <c r="L2295" s="186"/>
      <c r="M2295" s="36">
        <f t="shared" si="91"/>
        <v>0</v>
      </c>
      <c r="N2295" s="37" t="s">
        <v>1443</v>
      </c>
      <c r="O2295" s="37" t="s">
        <v>8</v>
      </c>
      <c r="P2295" s="47" t="str">
        <f>IF(AND('331-CT'!$F$5=TH!H2295,OR(N2295="331",O2295="331")),"x","")</f>
        <v/>
      </c>
      <c r="Q2295" s="47" t="str">
        <f>IF(AND(B2295='111'!$L$11,OR($N2295=$Q$7,$O2295=$Q$7)),"x","")</f>
        <v/>
      </c>
      <c r="R2295" s="47" t="str">
        <f>IF(AND($N2295=$Q$7,$B2295&lt;'111'!$L$11),"x","")</f>
        <v/>
      </c>
      <c r="S2295" s="47" t="str">
        <f>IF(AND($O2295=$Q$7,$B2295&lt;'111'!$L$11),"x","")</f>
        <v/>
      </c>
    </row>
    <row r="2296" spans="1:19" ht="15.75" customHeight="1">
      <c r="A2296" s="152" t="str">
        <f>IF(B2296&lt;&gt;"",IF(AND(B2296='IN-TC'!$S$4,OR(TH!N2296="1111",TH!O2296="1111")),TH!D2296,""),"")</f>
        <v/>
      </c>
      <c r="B2296" s="34">
        <f t="shared" si="92"/>
        <v>1</v>
      </c>
      <c r="C2296" s="35">
        <f t="shared" si="93"/>
        <v>0</v>
      </c>
      <c r="D2296" s="212"/>
      <c r="E2296" s="35"/>
      <c r="F2296" s="144"/>
      <c r="G2296" s="191"/>
      <c r="H2296" s="198"/>
      <c r="I2296" s="186"/>
      <c r="J2296" s="186"/>
      <c r="K2296" s="185"/>
      <c r="L2296" s="186"/>
      <c r="M2296" s="36">
        <f t="shared" si="91"/>
        <v>0</v>
      </c>
      <c r="N2296" s="37" t="s">
        <v>1443</v>
      </c>
      <c r="O2296" s="37" t="s">
        <v>8</v>
      </c>
      <c r="P2296" s="47" t="str">
        <f>IF(AND('331-CT'!$F$5=TH!H2296,OR(N2296="331",O2296="331")),"x","")</f>
        <v/>
      </c>
      <c r="Q2296" s="47" t="str">
        <f>IF(AND(B2296='111'!$L$11,OR($N2296=$Q$7,$O2296=$Q$7)),"x","")</f>
        <v/>
      </c>
      <c r="R2296" s="47" t="str">
        <f>IF(AND($N2296=$Q$7,$B2296&lt;'111'!$L$11),"x","")</f>
        <v/>
      </c>
      <c r="S2296" s="47" t="str">
        <f>IF(AND($O2296=$Q$7,$B2296&lt;'111'!$L$11),"x","")</f>
        <v/>
      </c>
    </row>
    <row r="2297" spans="1:19" ht="15.75" customHeight="1">
      <c r="A2297" s="152" t="str">
        <f>IF(B2297&lt;&gt;"",IF(AND(B2297='IN-TC'!$S$4,OR(TH!N2297="1111",TH!O2297="1111")),TH!D2297,""),"")</f>
        <v/>
      </c>
      <c r="B2297" s="34">
        <f t="shared" si="92"/>
        <v>1</v>
      </c>
      <c r="C2297" s="35">
        <f t="shared" si="93"/>
        <v>0</v>
      </c>
      <c r="D2297" s="212"/>
      <c r="E2297" s="35"/>
      <c r="F2297" s="144"/>
      <c r="G2297" s="191"/>
      <c r="H2297" s="198"/>
      <c r="I2297" s="186"/>
      <c r="J2297" s="186"/>
      <c r="K2297" s="185"/>
      <c r="L2297" s="186"/>
      <c r="M2297" s="36">
        <f t="shared" si="91"/>
        <v>0</v>
      </c>
      <c r="N2297" s="37" t="s">
        <v>1443</v>
      </c>
      <c r="O2297" s="37" t="s">
        <v>8</v>
      </c>
      <c r="P2297" s="47" t="str">
        <f>IF(AND('331-CT'!$F$5=TH!H2297,OR(N2297="331",O2297="331")),"x","")</f>
        <v/>
      </c>
      <c r="Q2297" s="47" t="str">
        <f>IF(AND(B2297='111'!$L$11,OR($N2297=$Q$7,$O2297=$Q$7)),"x","")</f>
        <v/>
      </c>
      <c r="R2297" s="47" t="str">
        <f>IF(AND($N2297=$Q$7,$B2297&lt;'111'!$L$11),"x","")</f>
        <v/>
      </c>
      <c r="S2297" s="47" t="str">
        <f>IF(AND($O2297=$Q$7,$B2297&lt;'111'!$L$11),"x","")</f>
        <v/>
      </c>
    </row>
    <row r="2298" spans="1:19" ht="15.75" customHeight="1">
      <c r="A2298" s="152" t="str">
        <f>IF(B2298&lt;&gt;"",IF(AND(B2298='IN-TC'!$S$4,OR(TH!N2298="1111",TH!O2298="1111")),TH!D2298,""),"")</f>
        <v/>
      </c>
      <c r="B2298" s="34">
        <f t="shared" si="92"/>
        <v>1</v>
      </c>
      <c r="C2298" s="35">
        <f t="shared" si="93"/>
        <v>0</v>
      </c>
      <c r="D2298" s="212"/>
      <c r="E2298" s="35"/>
      <c r="F2298" s="144"/>
      <c r="G2298" s="191"/>
      <c r="H2298" s="198"/>
      <c r="I2298" s="186"/>
      <c r="J2298" s="186"/>
      <c r="K2298" s="185"/>
      <c r="L2298" s="186"/>
      <c r="M2298" s="36">
        <f t="shared" si="91"/>
        <v>0</v>
      </c>
      <c r="N2298" s="37" t="s">
        <v>1443</v>
      </c>
      <c r="O2298" s="37" t="s">
        <v>8</v>
      </c>
      <c r="P2298" s="47" t="str">
        <f>IF(AND('331-CT'!$F$5=TH!H2298,OR(N2298="331",O2298="331")),"x","")</f>
        <v/>
      </c>
      <c r="Q2298" s="47" t="str">
        <f>IF(AND(B2298='111'!$L$11,OR($N2298=$Q$7,$O2298=$Q$7)),"x","")</f>
        <v/>
      </c>
      <c r="R2298" s="47" t="str">
        <f>IF(AND($N2298=$Q$7,$B2298&lt;'111'!$L$11),"x","")</f>
        <v/>
      </c>
      <c r="S2298" s="47" t="str">
        <f>IF(AND($O2298=$Q$7,$B2298&lt;'111'!$L$11),"x","")</f>
        <v/>
      </c>
    </row>
    <row r="2299" spans="1:19" ht="15.75" customHeight="1">
      <c r="A2299" s="152" t="str">
        <f>IF(B2299&lt;&gt;"",IF(AND(B2299='IN-TC'!$S$4,OR(TH!N2299="1111",TH!O2299="1111")),TH!D2299,""),"")</f>
        <v/>
      </c>
      <c r="B2299" s="34">
        <f t="shared" si="92"/>
        <v>1</v>
      </c>
      <c r="C2299" s="35">
        <f t="shared" si="93"/>
        <v>0</v>
      </c>
      <c r="D2299" s="212"/>
      <c r="E2299" s="35"/>
      <c r="F2299" s="144"/>
      <c r="G2299" s="191"/>
      <c r="H2299" s="198"/>
      <c r="I2299" s="186"/>
      <c r="J2299" s="186"/>
      <c r="K2299" s="185"/>
      <c r="L2299" s="186"/>
      <c r="M2299" s="36">
        <f t="shared" si="91"/>
        <v>0</v>
      </c>
      <c r="N2299" s="37" t="s">
        <v>1443</v>
      </c>
      <c r="O2299" s="37" t="s">
        <v>8</v>
      </c>
      <c r="P2299" s="47" t="str">
        <f>IF(AND('331-CT'!$F$5=TH!H2299,OR(N2299="331",O2299="331")),"x","")</f>
        <v/>
      </c>
      <c r="Q2299" s="47" t="str">
        <f>IF(AND(B2299='111'!$L$11,OR($N2299=$Q$7,$O2299=$Q$7)),"x","")</f>
        <v/>
      </c>
      <c r="R2299" s="47" t="str">
        <f>IF(AND($N2299=$Q$7,$B2299&lt;'111'!$L$11),"x","")</f>
        <v/>
      </c>
      <c r="S2299" s="47" t="str">
        <f>IF(AND($O2299=$Q$7,$B2299&lt;'111'!$L$11),"x","")</f>
        <v/>
      </c>
    </row>
    <row r="2300" spans="1:19" ht="15.75" customHeight="1">
      <c r="A2300" s="152" t="str">
        <f>IF(B2300&lt;&gt;"",IF(AND(B2300='IN-TC'!$S$4,OR(TH!N2300="1111",TH!O2300="1111")),TH!D2300,""),"")</f>
        <v/>
      </c>
      <c r="B2300" s="34">
        <f t="shared" si="92"/>
        <v>1</v>
      </c>
      <c r="C2300" s="35">
        <f t="shared" si="93"/>
        <v>0</v>
      </c>
      <c r="D2300" s="212"/>
      <c r="E2300" s="35"/>
      <c r="F2300" s="144"/>
      <c r="G2300" s="191"/>
      <c r="H2300" s="198"/>
      <c r="I2300" s="186"/>
      <c r="J2300" s="186"/>
      <c r="K2300" s="185"/>
      <c r="L2300" s="186"/>
      <c r="M2300" s="36">
        <f t="shared" si="91"/>
        <v>0</v>
      </c>
      <c r="N2300" s="37" t="s">
        <v>1443</v>
      </c>
      <c r="O2300" s="37" t="s">
        <v>8</v>
      </c>
      <c r="P2300" s="47" t="str">
        <f>IF(AND('331-CT'!$F$5=TH!H2300,OR(N2300="331",O2300="331")),"x","")</f>
        <v/>
      </c>
      <c r="Q2300" s="47" t="str">
        <f>IF(AND(B2300='111'!$L$11,OR($N2300=$Q$7,$O2300=$Q$7)),"x","")</f>
        <v/>
      </c>
      <c r="R2300" s="47" t="str">
        <f>IF(AND($N2300=$Q$7,$B2300&lt;'111'!$L$11),"x","")</f>
        <v/>
      </c>
      <c r="S2300" s="47" t="str">
        <f>IF(AND($O2300=$Q$7,$B2300&lt;'111'!$L$11),"x","")</f>
        <v/>
      </c>
    </row>
    <row r="2301" spans="1:19" ht="15.75" customHeight="1">
      <c r="A2301" s="152" t="str">
        <f>IF(B2301&lt;&gt;"",IF(AND(B2301='IN-TC'!$S$4,OR(TH!N2301="1111",TH!O2301="1111")),TH!D2301,""),"")</f>
        <v/>
      </c>
      <c r="B2301" s="34">
        <f t="shared" si="92"/>
        <v>1</v>
      </c>
      <c r="C2301" s="35">
        <f t="shared" si="93"/>
        <v>0</v>
      </c>
      <c r="D2301" s="212"/>
      <c r="E2301" s="35"/>
      <c r="F2301" s="144"/>
      <c r="G2301" s="191"/>
      <c r="H2301" s="198"/>
      <c r="I2301" s="186"/>
      <c r="J2301" s="186"/>
      <c r="K2301" s="185"/>
      <c r="L2301" s="186"/>
      <c r="M2301" s="36">
        <f t="shared" si="91"/>
        <v>0</v>
      </c>
      <c r="N2301" s="37" t="s">
        <v>1443</v>
      </c>
      <c r="O2301" s="37" t="s">
        <v>8</v>
      </c>
      <c r="P2301" s="47" t="str">
        <f>IF(AND('331-CT'!$F$5=TH!H2301,OR(N2301="331",O2301="331")),"x","")</f>
        <v/>
      </c>
      <c r="Q2301" s="47" t="str">
        <f>IF(AND(B2301='111'!$L$11,OR($N2301=$Q$7,$O2301=$Q$7)),"x","")</f>
        <v/>
      </c>
      <c r="R2301" s="47" t="str">
        <f>IF(AND($N2301=$Q$7,$B2301&lt;'111'!$L$11),"x","")</f>
        <v/>
      </c>
      <c r="S2301" s="47" t="str">
        <f>IF(AND($O2301=$Q$7,$B2301&lt;'111'!$L$11),"x","")</f>
        <v/>
      </c>
    </row>
    <row r="2302" spans="1:19" ht="15.75" customHeight="1">
      <c r="A2302" s="152" t="str">
        <f>IF(B2302&lt;&gt;"",IF(AND(B2302='IN-TC'!$S$4,OR(TH!N2302="1111",TH!O2302="1111")),TH!D2302,""),"")</f>
        <v/>
      </c>
      <c r="B2302" s="34">
        <f t="shared" si="92"/>
        <v>1</v>
      </c>
      <c r="C2302" s="35">
        <f t="shared" si="93"/>
        <v>0</v>
      </c>
      <c r="D2302" s="212"/>
      <c r="E2302" s="35"/>
      <c r="F2302" s="144"/>
      <c r="G2302" s="191"/>
      <c r="H2302" s="198"/>
      <c r="I2302" s="186"/>
      <c r="J2302" s="186"/>
      <c r="K2302" s="185"/>
      <c r="L2302" s="186"/>
      <c r="M2302" s="36">
        <f t="shared" si="91"/>
        <v>0</v>
      </c>
      <c r="N2302" s="37" t="s">
        <v>1443</v>
      </c>
      <c r="O2302" s="37" t="s">
        <v>8</v>
      </c>
      <c r="P2302" s="47" t="str">
        <f>IF(AND('331-CT'!$F$5=TH!H2302,OR(N2302="331",O2302="331")),"x","")</f>
        <v/>
      </c>
      <c r="Q2302" s="47" t="str">
        <f>IF(AND(B2302='111'!$L$11,OR($N2302=$Q$7,$O2302=$Q$7)),"x","")</f>
        <v/>
      </c>
      <c r="R2302" s="47" t="str">
        <f>IF(AND($N2302=$Q$7,$B2302&lt;'111'!$L$11),"x","")</f>
        <v/>
      </c>
      <c r="S2302" s="47" t="str">
        <f>IF(AND($O2302=$Q$7,$B2302&lt;'111'!$L$11),"x","")</f>
        <v/>
      </c>
    </row>
    <row r="2303" spans="1:19" ht="15.75" customHeight="1">
      <c r="A2303" s="152" t="str">
        <f>IF(B2303&lt;&gt;"",IF(AND(B2303='IN-TC'!$S$4,OR(TH!N2303="1111",TH!O2303="1111")),TH!D2303,""),"")</f>
        <v/>
      </c>
      <c r="B2303" s="34">
        <f t="shared" si="92"/>
        <v>1</v>
      </c>
      <c r="C2303" s="35">
        <f t="shared" si="93"/>
        <v>0</v>
      </c>
      <c r="D2303" s="212"/>
      <c r="E2303" s="35"/>
      <c r="F2303" s="144"/>
      <c r="G2303" s="191"/>
      <c r="H2303" s="198"/>
      <c r="I2303" s="186"/>
      <c r="J2303" s="186"/>
      <c r="K2303" s="185"/>
      <c r="L2303" s="186"/>
      <c r="M2303" s="36">
        <f t="shared" si="91"/>
        <v>0</v>
      </c>
      <c r="N2303" s="37" t="s">
        <v>1443</v>
      </c>
      <c r="O2303" s="37" t="s">
        <v>8</v>
      </c>
      <c r="P2303" s="47" t="str">
        <f>IF(AND('331-CT'!$F$5=TH!H2303,OR(N2303="331",O2303="331")),"x","")</f>
        <v/>
      </c>
      <c r="Q2303" s="47" t="str">
        <f>IF(AND(B2303='111'!$L$11,OR($N2303=$Q$7,$O2303=$Q$7)),"x","")</f>
        <v/>
      </c>
      <c r="R2303" s="47" t="str">
        <f>IF(AND($N2303=$Q$7,$B2303&lt;'111'!$L$11),"x","")</f>
        <v/>
      </c>
      <c r="S2303" s="47" t="str">
        <f>IF(AND($O2303=$Q$7,$B2303&lt;'111'!$L$11),"x","")</f>
        <v/>
      </c>
    </row>
    <row r="2304" spans="1:19" ht="15.75" customHeight="1">
      <c r="A2304" s="152" t="str">
        <f>IF(B2304&lt;&gt;"",IF(AND(B2304='IN-TC'!$S$4,OR(TH!N2304="1111",TH!O2304="1111")),TH!D2304,""),"")</f>
        <v/>
      </c>
      <c r="B2304" s="34">
        <f t="shared" si="92"/>
        <v>1</v>
      </c>
      <c r="C2304" s="35">
        <f t="shared" si="93"/>
        <v>0</v>
      </c>
      <c r="D2304" s="212"/>
      <c r="E2304" s="35"/>
      <c r="F2304" s="144"/>
      <c r="G2304" s="191"/>
      <c r="H2304" s="198"/>
      <c r="I2304" s="186"/>
      <c r="J2304" s="186"/>
      <c r="K2304" s="185"/>
      <c r="L2304" s="186"/>
      <c r="M2304" s="36">
        <f t="shared" si="91"/>
        <v>0</v>
      </c>
      <c r="N2304" s="37" t="s">
        <v>1443</v>
      </c>
      <c r="O2304" s="37" t="s">
        <v>8</v>
      </c>
      <c r="P2304" s="47" t="str">
        <f>IF(AND('331-CT'!$F$5=TH!H2304,OR(N2304="331",O2304="331")),"x","")</f>
        <v/>
      </c>
      <c r="Q2304" s="47" t="str">
        <f>IF(AND(B2304='111'!$L$11,OR($N2304=$Q$7,$O2304=$Q$7)),"x","")</f>
        <v/>
      </c>
      <c r="R2304" s="47" t="str">
        <f>IF(AND($N2304=$Q$7,$B2304&lt;'111'!$L$11),"x","")</f>
        <v/>
      </c>
      <c r="S2304" s="47" t="str">
        <f>IF(AND($O2304=$Q$7,$B2304&lt;'111'!$L$11),"x","")</f>
        <v/>
      </c>
    </row>
    <row r="2305" spans="1:19" ht="15.75" customHeight="1">
      <c r="A2305" s="152" t="str">
        <f>IF(B2305&lt;&gt;"",IF(AND(B2305='IN-TC'!$S$4,OR(TH!N2305="1111",TH!O2305="1111")),TH!D2305,""),"")</f>
        <v/>
      </c>
      <c r="B2305" s="34">
        <f t="shared" si="92"/>
        <v>1</v>
      </c>
      <c r="C2305" s="35">
        <f t="shared" si="93"/>
        <v>0</v>
      </c>
      <c r="D2305" s="212"/>
      <c r="E2305" s="35"/>
      <c r="F2305" s="144"/>
      <c r="G2305" s="191"/>
      <c r="H2305" s="198"/>
      <c r="I2305" s="186"/>
      <c r="J2305" s="186"/>
      <c r="K2305" s="185"/>
      <c r="L2305" s="186"/>
      <c r="M2305" s="36">
        <f t="shared" si="91"/>
        <v>0</v>
      </c>
      <c r="N2305" s="37" t="s">
        <v>1443</v>
      </c>
      <c r="O2305" s="37" t="s">
        <v>8</v>
      </c>
      <c r="P2305" s="47" t="str">
        <f>IF(AND('331-CT'!$F$5=TH!H2305,OR(N2305="331",O2305="331")),"x","")</f>
        <v/>
      </c>
      <c r="Q2305" s="47" t="str">
        <f>IF(AND(B2305='111'!$L$11,OR($N2305=$Q$7,$O2305=$Q$7)),"x","")</f>
        <v/>
      </c>
      <c r="R2305" s="47" t="str">
        <f>IF(AND($N2305=$Q$7,$B2305&lt;'111'!$L$11),"x","")</f>
        <v/>
      </c>
      <c r="S2305" s="47" t="str">
        <f>IF(AND($O2305=$Q$7,$B2305&lt;'111'!$L$11),"x","")</f>
        <v/>
      </c>
    </row>
    <row r="2306" spans="1:19" ht="15.75" customHeight="1">
      <c r="A2306" s="152" t="str">
        <f>IF(B2306&lt;&gt;"",IF(AND(B2306='IN-TC'!$S$4,OR(TH!N2306="1111",TH!O2306="1111")),TH!D2306,""),"")</f>
        <v/>
      </c>
      <c r="B2306" s="34">
        <f t="shared" si="92"/>
        <v>1</v>
      </c>
      <c r="C2306" s="35">
        <f t="shared" si="93"/>
        <v>0</v>
      </c>
      <c r="D2306" s="212"/>
      <c r="E2306" s="35"/>
      <c r="F2306" s="144"/>
      <c r="G2306" s="191"/>
      <c r="H2306" s="198"/>
      <c r="I2306" s="186"/>
      <c r="J2306" s="186"/>
      <c r="K2306" s="185"/>
      <c r="L2306" s="186"/>
      <c r="M2306" s="36">
        <f t="shared" si="91"/>
        <v>0</v>
      </c>
      <c r="N2306" s="37" t="s">
        <v>1443</v>
      </c>
      <c r="O2306" s="37" t="s">
        <v>8</v>
      </c>
      <c r="P2306" s="47" t="str">
        <f>IF(AND('331-CT'!$F$5=TH!H2306,OR(N2306="331",O2306="331")),"x","")</f>
        <v/>
      </c>
      <c r="Q2306" s="47" t="str">
        <f>IF(AND(B2306='111'!$L$11,OR($N2306=$Q$7,$O2306=$Q$7)),"x","")</f>
        <v/>
      </c>
      <c r="R2306" s="47" t="str">
        <f>IF(AND($N2306=$Q$7,$B2306&lt;'111'!$L$11),"x","")</f>
        <v/>
      </c>
      <c r="S2306" s="47" t="str">
        <f>IF(AND($O2306=$Q$7,$B2306&lt;'111'!$L$11),"x","")</f>
        <v/>
      </c>
    </row>
    <row r="2307" spans="1:19" ht="15.75" customHeight="1">
      <c r="A2307" s="152" t="str">
        <f>IF(B2307&lt;&gt;"",IF(AND(B2307='IN-TC'!$S$4,OR(TH!N2307="1111",TH!O2307="1111")),TH!D2307,""),"")</f>
        <v/>
      </c>
      <c r="B2307" s="34">
        <f t="shared" si="92"/>
        <v>1</v>
      </c>
      <c r="C2307" s="35">
        <f t="shared" si="93"/>
        <v>0</v>
      </c>
      <c r="D2307" s="212"/>
      <c r="E2307" s="35"/>
      <c r="F2307" s="144"/>
      <c r="G2307" s="191"/>
      <c r="H2307" s="198"/>
      <c r="I2307" s="186"/>
      <c r="J2307" s="186"/>
      <c r="K2307" s="185"/>
      <c r="L2307" s="186"/>
      <c r="M2307" s="36">
        <f t="shared" si="91"/>
        <v>0</v>
      </c>
      <c r="N2307" s="37" t="s">
        <v>1443</v>
      </c>
      <c r="O2307" s="37" t="s">
        <v>8</v>
      </c>
      <c r="P2307" s="47" t="str">
        <f>IF(AND('331-CT'!$F$5=TH!H2307,OR(N2307="331",O2307="331")),"x","")</f>
        <v/>
      </c>
      <c r="Q2307" s="47" t="str">
        <f>IF(AND(B2307='111'!$L$11,OR($N2307=$Q$7,$O2307=$Q$7)),"x","")</f>
        <v/>
      </c>
      <c r="R2307" s="47" t="str">
        <f>IF(AND($N2307=$Q$7,$B2307&lt;'111'!$L$11),"x","")</f>
        <v/>
      </c>
      <c r="S2307" s="47" t="str">
        <f>IF(AND($O2307=$Q$7,$B2307&lt;'111'!$L$11),"x","")</f>
        <v/>
      </c>
    </row>
    <row r="2308" spans="1:19" ht="15.75" customHeight="1">
      <c r="A2308" s="152" t="str">
        <f>IF(B2308&lt;&gt;"",IF(AND(B2308='IN-TC'!$S$4,OR(TH!N2308="1111",TH!O2308="1111")),TH!D2308,""),"")</f>
        <v/>
      </c>
      <c r="B2308" s="34">
        <f t="shared" si="92"/>
        <v>1</v>
      </c>
      <c r="C2308" s="35">
        <f t="shared" si="93"/>
        <v>0</v>
      </c>
      <c r="D2308" s="212"/>
      <c r="E2308" s="35"/>
      <c r="F2308" s="144"/>
      <c r="G2308" s="191"/>
      <c r="H2308" s="198"/>
      <c r="I2308" s="186"/>
      <c r="J2308" s="186"/>
      <c r="K2308" s="185"/>
      <c r="L2308" s="186"/>
      <c r="M2308" s="36">
        <f t="shared" si="91"/>
        <v>0</v>
      </c>
      <c r="N2308" s="37" t="s">
        <v>1443</v>
      </c>
      <c r="O2308" s="37" t="s">
        <v>8</v>
      </c>
      <c r="P2308" s="47" t="str">
        <f>IF(AND('331-CT'!$F$5=TH!H2308,OR(N2308="331",O2308="331")),"x","")</f>
        <v/>
      </c>
      <c r="Q2308" s="47" t="str">
        <f>IF(AND(B2308='111'!$L$11,OR($N2308=$Q$7,$O2308=$Q$7)),"x","")</f>
        <v/>
      </c>
      <c r="R2308" s="47" t="str">
        <f>IF(AND($N2308=$Q$7,$B2308&lt;'111'!$L$11),"x","")</f>
        <v/>
      </c>
      <c r="S2308" s="47" t="str">
        <f>IF(AND($O2308=$Q$7,$B2308&lt;'111'!$L$11),"x","")</f>
        <v/>
      </c>
    </row>
    <row r="2309" spans="1:19" ht="15.75" customHeight="1">
      <c r="A2309" s="152" t="str">
        <f>IF(B2309&lt;&gt;"",IF(AND(B2309='IN-TC'!$S$4,OR(TH!N2309="1111",TH!O2309="1111")),TH!D2309,""),"")</f>
        <v/>
      </c>
      <c r="B2309" s="34">
        <f t="shared" si="92"/>
        <v>1</v>
      </c>
      <c r="C2309" s="35">
        <f t="shared" si="93"/>
        <v>0</v>
      </c>
      <c r="D2309" s="212"/>
      <c r="E2309" s="35"/>
      <c r="F2309" s="144"/>
      <c r="G2309" s="191"/>
      <c r="H2309" s="198"/>
      <c r="I2309" s="186"/>
      <c r="J2309" s="186"/>
      <c r="K2309" s="185"/>
      <c r="L2309" s="186"/>
      <c r="M2309" s="36">
        <f t="shared" si="91"/>
        <v>0</v>
      </c>
      <c r="N2309" s="37" t="s">
        <v>1443</v>
      </c>
      <c r="O2309" s="37" t="s">
        <v>8</v>
      </c>
      <c r="P2309" s="47" t="str">
        <f>IF(AND('331-CT'!$F$5=TH!H2309,OR(N2309="331",O2309="331")),"x","")</f>
        <v/>
      </c>
      <c r="Q2309" s="47" t="str">
        <f>IF(AND(B2309='111'!$L$11,OR($N2309=$Q$7,$O2309=$Q$7)),"x","")</f>
        <v/>
      </c>
      <c r="R2309" s="47" t="str">
        <f>IF(AND($N2309=$Q$7,$B2309&lt;'111'!$L$11),"x","")</f>
        <v/>
      </c>
      <c r="S2309" s="47" t="str">
        <f>IF(AND($O2309=$Q$7,$B2309&lt;'111'!$L$11),"x","")</f>
        <v/>
      </c>
    </row>
    <row r="2310" spans="1:19" ht="15.75" customHeight="1">
      <c r="A2310" s="152" t="str">
        <f>IF(B2310&lt;&gt;"",IF(AND(B2310='IN-TC'!$S$4,OR(TH!N2310="1111",TH!O2310="1111")),TH!D2310,""),"")</f>
        <v/>
      </c>
      <c r="B2310" s="34">
        <f t="shared" si="92"/>
        <v>1</v>
      </c>
      <c r="C2310" s="35">
        <f t="shared" si="93"/>
        <v>0</v>
      </c>
      <c r="D2310" s="212"/>
      <c r="E2310" s="35"/>
      <c r="F2310" s="144"/>
      <c r="G2310" s="191"/>
      <c r="H2310" s="198"/>
      <c r="I2310" s="186"/>
      <c r="J2310" s="186"/>
      <c r="K2310" s="185"/>
      <c r="L2310" s="186"/>
      <c r="M2310" s="36">
        <f t="shared" si="91"/>
        <v>0</v>
      </c>
      <c r="N2310" s="37" t="s">
        <v>1443</v>
      </c>
      <c r="O2310" s="37" t="s">
        <v>8</v>
      </c>
      <c r="P2310" s="47" t="str">
        <f>IF(AND('331-CT'!$F$5=TH!H2310,OR(N2310="331",O2310="331")),"x","")</f>
        <v/>
      </c>
      <c r="Q2310" s="47" t="str">
        <f>IF(AND(B2310='111'!$L$11,OR($N2310=$Q$7,$O2310=$Q$7)),"x","")</f>
        <v/>
      </c>
      <c r="R2310" s="47" t="str">
        <f>IF(AND($N2310=$Q$7,$B2310&lt;'111'!$L$11),"x","")</f>
        <v/>
      </c>
      <c r="S2310" s="47" t="str">
        <f>IF(AND($O2310=$Q$7,$B2310&lt;'111'!$L$11),"x","")</f>
        <v/>
      </c>
    </row>
    <row r="2311" spans="1:19" ht="15.75" customHeight="1">
      <c r="A2311" s="152" t="str">
        <f>IF(B2311&lt;&gt;"",IF(AND(B2311='IN-TC'!$S$4,OR(TH!N2311="1111",TH!O2311="1111")),TH!D2311,""),"")</f>
        <v/>
      </c>
      <c r="B2311" s="34">
        <f t="shared" si="92"/>
        <v>1</v>
      </c>
      <c r="C2311" s="35">
        <f t="shared" si="93"/>
        <v>0</v>
      </c>
      <c r="D2311" s="212"/>
      <c r="E2311" s="35"/>
      <c r="F2311" s="144"/>
      <c r="G2311" s="191"/>
      <c r="H2311" s="198"/>
      <c r="I2311" s="186"/>
      <c r="J2311" s="186"/>
      <c r="K2311" s="185"/>
      <c r="L2311" s="186"/>
      <c r="M2311" s="36">
        <f t="shared" si="91"/>
        <v>0</v>
      </c>
      <c r="N2311" s="37" t="s">
        <v>1443</v>
      </c>
      <c r="O2311" s="37" t="s">
        <v>8</v>
      </c>
      <c r="P2311" s="47" t="str">
        <f>IF(AND('331-CT'!$F$5=TH!H2311,OR(N2311="331",O2311="331")),"x","")</f>
        <v/>
      </c>
      <c r="Q2311" s="47" t="str">
        <f>IF(AND(B2311='111'!$L$11,OR($N2311=$Q$7,$O2311=$Q$7)),"x","")</f>
        <v/>
      </c>
      <c r="R2311" s="47" t="str">
        <f>IF(AND($N2311=$Q$7,$B2311&lt;'111'!$L$11),"x","")</f>
        <v/>
      </c>
      <c r="S2311" s="47" t="str">
        <f>IF(AND($O2311=$Q$7,$B2311&lt;'111'!$L$11),"x","")</f>
        <v/>
      </c>
    </row>
    <row r="2312" spans="1:19" ht="15.75" customHeight="1">
      <c r="A2312" s="152" t="str">
        <f>IF(B2312&lt;&gt;"",IF(AND(B2312='IN-TC'!$S$4,OR(TH!N2312="1111",TH!O2312="1111")),TH!D2312,""),"")</f>
        <v/>
      </c>
      <c r="B2312" s="34">
        <f t="shared" si="92"/>
        <v>1</v>
      </c>
      <c r="C2312" s="35">
        <f t="shared" si="93"/>
        <v>0</v>
      </c>
      <c r="D2312" s="212"/>
      <c r="E2312" s="35"/>
      <c r="F2312" s="144"/>
      <c r="G2312" s="191"/>
      <c r="H2312" s="198"/>
      <c r="I2312" s="186"/>
      <c r="J2312" s="186"/>
      <c r="K2312" s="185"/>
      <c r="L2312" s="186"/>
      <c r="M2312" s="36">
        <f t="shared" si="91"/>
        <v>0</v>
      </c>
      <c r="N2312" s="37" t="s">
        <v>1443</v>
      </c>
      <c r="O2312" s="37" t="s">
        <v>8</v>
      </c>
      <c r="P2312" s="47" t="str">
        <f>IF(AND('331-CT'!$F$5=TH!H2312,OR(N2312="331",O2312="331")),"x","")</f>
        <v/>
      </c>
      <c r="Q2312" s="47" t="str">
        <f>IF(AND(B2312='111'!$L$11,OR($N2312=$Q$7,$O2312=$Q$7)),"x","")</f>
        <v/>
      </c>
      <c r="R2312" s="47" t="str">
        <f>IF(AND($N2312=$Q$7,$B2312&lt;'111'!$L$11),"x","")</f>
        <v/>
      </c>
      <c r="S2312" s="47" t="str">
        <f>IF(AND($O2312=$Q$7,$B2312&lt;'111'!$L$11),"x","")</f>
        <v/>
      </c>
    </row>
    <row r="2313" spans="1:19" ht="15.75" customHeight="1">
      <c r="A2313" s="152" t="str">
        <f>IF(B2313&lt;&gt;"",IF(AND(B2313='IN-TC'!$S$4,OR(TH!N2313="1111",TH!O2313="1111")),TH!D2313,""),"")</f>
        <v/>
      </c>
      <c r="B2313" s="34">
        <f t="shared" si="92"/>
        <v>1</v>
      </c>
      <c r="C2313" s="35">
        <f t="shared" si="93"/>
        <v>0</v>
      </c>
      <c r="D2313" s="212"/>
      <c r="E2313" s="35"/>
      <c r="F2313" s="144"/>
      <c r="G2313" s="191"/>
      <c r="H2313" s="198"/>
      <c r="I2313" s="186"/>
      <c r="J2313" s="186"/>
      <c r="K2313" s="185"/>
      <c r="L2313" s="186"/>
      <c r="M2313" s="36">
        <f t="shared" si="91"/>
        <v>0</v>
      </c>
      <c r="N2313" s="37" t="s">
        <v>1443</v>
      </c>
      <c r="O2313" s="37" t="s">
        <v>8</v>
      </c>
      <c r="P2313" s="47" t="str">
        <f>IF(AND('331-CT'!$F$5=TH!H2313,OR(N2313="331",O2313="331")),"x","")</f>
        <v/>
      </c>
      <c r="Q2313" s="47" t="str">
        <f>IF(AND(B2313='111'!$L$11,OR($N2313=$Q$7,$O2313=$Q$7)),"x","")</f>
        <v/>
      </c>
      <c r="R2313" s="47" t="str">
        <f>IF(AND($N2313=$Q$7,$B2313&lt;'111'!$L$11),"x","")</f>
        <v/>
      </c>
      <c r="S2313" s="47" t="str">
        <f>IF(AND($O2313=$Q$7,$B2313&lt;'111'!$L$11),"x","")</f>
        <v/>
      </c>
    </row>
    <row r="2314" spans="1:19" ht="15.75" customHeight="1">
      <c r="A2314" s="152" t="str">
        <f>IF(B2314&lt;&gt;"",IF(AND(B2314='IN-TC'!$S$4,OR(TH!N2314="1111",TH!O2314="1111")),TH!D2314,""),"")</f>
        <v/>
      </c>
      <c r="B2314" s="34">
        <f t="shared" si="92"/>
        <v>1</v>
      </c>
      <c r="C2314" s="35">
        <f t="shared" si="93"/>
        <v>0</v>
      </c>
      <c r="D2314" s="212"/>
      <c r="E2314" s="35"/>
      <c r="F2314" s="144"/>
      <c r="G2314" s="191"/>
      <c r="H2314" s="198"/>
      <c r="I2314" s="186"/>
      <c r="J2314" s="186"/>
      <c r="K2314" s="185"/>
      <c r="L2314" s="186"/>
      <c r="M2314" s="36">
        <f t="shared" si="91"/>
        <v>0</v>
      </c>
      <c r="N2314" s="37" t="s">
        <v>1443</v>
      </c>
      <c r="O2314" s="37" t="s">
        <v>8</v>
      </c>
      <c r="P2314" s="47" t="str">
        <f>IF(AND('331-CT'!$F$5=TH!H2314,OR(N2314="331",O2314="331")),"x","")</f>
        <v/>
      </c>
      <c r="Q2314" s="47" t="str">
        <f>IF(AND(B2314='111'!$L$11,OR($N2314=$Q$7,$O2314=$Q$7)),"x","")</f>
        <v/>
      </c>
      <c r="R2314" s="47" t="str">
        <f>IF(AND($N2314=$Q$7,$B2314&lt;'111'!$L$11),"x","")</f>
        <v/>
      </c>
      <c r="S2314" s="47" t="str">
        <f>IF(AND($O2314=$Q$7,$B2314&lt;'111'!$L$11),"x","")</f>
        <v/>
      </c>
    </row>
    <row r="2315" spans="1:19" ht="15.75" customHeight="1">
      <c r="A2315" s="152" t="str">
        <f>IF(B2315&lt;&gt;"",IF(AND(B2315='IN-TC'!$S$4,OR(TH!N2315="1111",TH!O2315="1111")),TH!D2315,""),"")</f>
        <v/>
      </c>
      <c r="B2315" s="34">
        <f t="shared" si="92"/>
        <v>1</v>
      </c>
      <c r="C2315" s="35">
        <f t="shared" si="93"/>
        <v>0</v>
      </c>
      <c r="D2315" s="212"/>
      <c r="E2315" s="35"/>
      <c r="F2315" s="144"/>
      <c r="G2315" s="191"/>
      <c r="H2315" s="198"/>
      <c r="I2315" s="186"/>
      <c r="J2315" s="186"/>
      <c r="K2315" s="185"/>
      <c r="L2315" s="186"/>
      <c r="M2315" s="36">
        <f t="shared" ref="M2315:M2378" si="94">ROUND(I2315*J2315,-3)</f>
        <v>0</v>
      </c>
      <c r="N2315" s="37" t="s">
        <v>1443</v>
      </c>
      <c r="O2315" s="37" t="s">
        <v>8</v>
      </c>
      <c r="P2315" s="47" t="str">
        <f>IF(AND('331-CT'!$F$5=TH!H2315,OR(N2315="331",O2315="331")),"x","")</f>
        <v/>
      </c>
      <c r="Q2315" s="47" t="str">
        <f>IF(AND(B2315='111'!$L$11,OR($N2315=$Q$7,$O2315=$Q$7)),"x","")</f>
        <v/>
      </c>
      <c r="R2315" s="47" t="str">
        <f>IF(AND($N2315=$Q$7,$B2315&lt;'111'!$L$11),"x","")</f>
        <v/>
      </c>
      <c r="S2315" s="47" t="str">
        <f>IF(AND($O2315=$Q$7,$B2315&lt;'111'!$L$11),"x","")</f>
        <v/>
      </c>
    </row>
    <row r="2316" spans="1:19" ht="15.75" customHeight="1">
      <c r="A2316" s="152" t="str">
        <f>IF(B2316&lt;&gt;"",IF(AND(B2316='IN-TC'!$S$4,OR(TH!N2316="1111",TH!O2316="1111")),TH!D2316,""),"")</f>
        <v/>
      </c>
      <c r="B2316" s="34">
        <f t="shared" si="92"/>
        <v>1</v>
      </c>
      <c r="C2316" s="35">
        <f t="shared" si="93"/>
        <v>0</v>
      </c>
      <c r="D2316" s="212"/>
      <c r="E2316" s="35"/>
      <c r="F2316" s="144"/>
      <c r="G2316" s="191"/>
      <c r="H2316" s="198"/>
      <c r="I2316" s="186"/>
      <c r="J2316" s="186"/>
      <c r="K2316" s="185"/>
      <c r="L2316" s="186"/>
      <c r="M2316" s="36">
        <f t="shared" si="94"/>
        <v>0</v>
      </c>
      <c r="N2316" s="37" t="s">
        <v>1443</v>
      </c>
      <c r="O2316" s="37" t="s">
        <v>8</v>
      </c>
      <c r="P2316" s="47" t="str">
        <f>IF(AND('331-CT'!$F$5=TH!H2316,OR(N2316="331",O2316="331")),"x","")</f>
        <v/>
      </c>
      <c r="Q2316" s="47" t="str">
        <f>IF(AND(B2316='111'!$L$11,OR($N2316=$Q$7,$O2316=$Q$7)),"x","")</f>
        <v/>
      </c>
      <c r="R2316" s="47" t="str">
        <f>IF(AND($N2316=$Q$7,$B2316&lt;'111'!$L$11),"x","")</f>
        <v/>
      </c>
      <c r="S2316" s="47" t="str">
        <f>IF(AND($O2316=$Q$7,$B2316&lt;'111'!$L$11),"x","")</f>
        <v/>
      </c>
    </row>
    <row r="2317" spans="1:19" ht="15.75" customHeight="1">
      <c r="A2317" s="152" t="str">
        <f>IF(B2317&lt;&gt;"",IF(AND(B2317='IN-TC'!$S$4,OR(TH!N2317="1111",TH!O2317="1111")),TH!D2317,""),"")</f>
        <v/>
      </c>
      <c r="B2317" s="34">
        <f t="shared" si="92"/>
        <v>1</v>
      </c>
      <c r="C2317" s="35">
        <f t="shared" si="93"/>
        <v>0</v>
      </c>
      <c r="D2317" s="212"/>
      <c r="E2317" s="35"/>
      <c r="F2317" s="144"/>
      <c r="G2317" s="191"/>
      <c r="H2317" s="198"/>
      <c r="I2317" s="186"/>
      <c r="J2317" s="186"/>
      <c r="K2317" s="185"/>
      <c r="L2317" s="186"/>
      <c r="M2317" s="36">
        <f t="shared" si="94"/>
        <v>0</v>
      </c>
      <c r="N2317" s="37" t="s">
        <v>1443</v>
      </c>
      <c r="O2317" s="37" t="s">
        <v>8</v>
      </c>
      <c r="P2317" s="47" t="str">
        <f>IF(AND('331-CT'!$F$5=TH!H2317,OR(N2317="331",O2317="331")),"x","")</f>
        <v/>
      </c>
      <c r="Q2317" s="47" t="str">
        <f>IF(AND(B2317='111'!$L$11,OR($N2317=$Q$7,$O2317=$Q$7)),"x","")</f>
        <v/>
      </c>
      <c r="R2317" s="47" t="str">
        <f>IF(AND($N2317=$Q$7,$B2317&lt;'111'!$L$11),"x","")</f>
        <v/>
      </c>
      <c r="S2317" s="47" t="str">
        <f>IF(AND($O2317=$Q$7,$B2317&lt;'111'!$L$11),"x","")</f>
        <v/>
      </c>
    </row>
    <row r="2318" spans="1:19" ht="15.75" customHeight="1">
      <c r="A2318" s="152" t="str">
        <f>IF(B2318&lt;&gt;"",IF(AND(B2318='IN-TC'!$S$4,OR(TH!N2318="1111",TH!O2318="1111")),TH!D2318,""),"")</f>
        <v/>
      </c>
      <c r="B2318" s="34">
        <f t="shared" si="92"/>
        <v>1</v>
      </c>
      <c r="C2318" s="35">
        <f t="shared" si="93"/>
        <v>0</v>
      </c>
      <c r="D2318" s="212"/>
      <c r="E2318" s="35"/>
      <c r="F2318" s="144"/>
      <c r="G2318" s="191"/>
      <c r="H2318" s="198"/>
      <c r="I2318" s="186"/>
      <c r="J2318" s="186"/>
      <c r="K2318" s="185"/>
      <c r="L2318" s="186"/>
      <c r="M2318" s="36">
        <f t="shared" si="94"/>
        <v>0</v>
      </c>
      <c r="N2318" s="37" t="s">
        <v>1443</v>
      </c>
      <c r="O2318" s="37" t="s">
        <v>8</v>
      </c>
      <c r="P2318" s="47" t="str">
        <f>IF(AND('331-CT'!$F$5=TH!H2318,OR(N2318="331",O2318="331")),"x","")</f>
        <v/>
      </c>
      <c r="Q2318" s="47" t="str">
        <f>IF(AND(B2318='111'!$L$11,OR($N2318=$Q$7,$O2318=$Q$7)),"x","")</f>
        <v/>
      </c>
      <c r="R2318" s="47" t="str">
        <f>IF(AND($N2318=$Q$7,$B2318&lt;'111'!$L$11),"x","")</f>
        <v/>
      </c>
      <c r="S2318" s="47" t="str">
        <f>IF(AND($O2318=$Q$7,$B2318&lt;'111'!$L$11),"x","")</f>
        <v/>
      </c>
    </row>
    <row r="2319" spans="1:19" ht="15.75" customHeight="1">
      <c r="A2319" s="152" t="str">
        <f>IF(B2319&lt;&gt;"",IF(AND(B2319='IN-TC'!$S$4,OR(TH!N2319="1111",TH!O2319="1111")),TH!D2319,""),"")</f>
        <v/>
      </c>
      <c r="B2319" s="34">
        <f t="shared" si="92"/>
        <v>1</v>
      </c>
      <c r="C2319" s="35">
        <f t="shared" si="93"/>
        <v>0</v>
      </c>
      <c r="D2319" s="212"/>
      <c r="E2319" s="35"/>
      <c r="F2319" s="144"/>
      <c r="G2319" s="191"/>
      <c r="H2319" s="198"/>
      <c r="I2319" s="186"/>
      <c r="J2319" s="186"/>
      <c r="K2319" s="185"/>
      <c r="L2319" s="186"/>
      <c r="M2319" s="36">
        <f t="shared" si="94"/>
        <v>0</v>
      </c>
      <c r="N2319" s="37" t="s">
        <v>1443</v>
      </c>
      <c r="O2319" s="37" t="s">
        <v>8</v>
      </c>
      <c r="P2319" s="47" t="str">
        <f>IF(AND('331-CT'!$F$5=TH!H2319,OR(N2319="331",O2319="331")),"x","")</f>
        <v/>
      </c>
      <c r="Q2319" s="47" t="str">
        <f>IF(AND(B2319='111'!$L$11,OR($N2319=$Q$7,$O2319=$Q$7)),"x","")</f>
        <v/>
      </c>
      <c r="R2319" s="47" t="str">
        <f>IF(AND($N2319=$Q$7,$B2319&lt;'111'!$L$11),"x","")</f>
        <v/>
      </c>
      <c r="S2319" s="47" t="str">
        <f>IF(AND($O2319=$Q$7,$B2319&lt;'111'!$L$11),"x","")</f>
        <v/>
      </c>
    </row>
    <row r="2320" spans="1:19" ht="15.75" customHeight="1">
      <c r="A2320" s="152" t="str">
        <f>IF(B2320&lt;&gt;"",IF(AND(B2320='IN-TC'!$S$4,OR(TH!N2320="1111",TH!O2320="1111")),TH!D2320,""),"")</f>
        <v/>
      </c>
      <c r="B2320" s="34">
        <f t="shared" si="92"/>
        <v>1</v>
      </c>
      <c r="C2320" s="35">
        <f t="shared" si="93"/>
        <v>0</v>
      </c>
      <c r="D2320" s="212"/>
      <c r="E2320" s="35"/>
      <c r="F2320" s="144"/>
      <c r="G2320" s="191"/>
      <c r="H2320" s="198"/>
      <c r="I2320" s="186"/>
      <c r="J2320" s="186"/>
      <c r="K2320" s="185"/>
      <c r="L2320" s="186"/>
      <c r="M2320" s="36">
        <f t="shared" si="94"/>
        <v>0</v>
      </c>
      <c r="N2320" s="37" t="s">
        <v>1443</v>
      </c>
      <c r="O2320" s="37" t="s">
        <v>8</v>
      </c>
      <c r="P2320" s="47" t="str">
        <f>IF(AND('331-CT'!$F$5=TH!H2320,OR(N2320="331",O2320="331")),"x","")</f>
        <v/>
      </c>
      <c r="Q2320" s="47" t="str">
        <f>IF(AND(B2320='111'!$L$11,OR($N2320=$Q$7,$O2320=$Q$7)),"x","")</f>
        <v/>
      </c>
      <c r="R2320" s="47" t="str">
        <f>IF(AND($N2320=$Q$7,$B2320&lt;'111'!$L$11),"x","")</f>
        <v/>
      </c>
      <c r="S2320" s="47" t="str">
        <f>IF(AND($O2320=$Q$7,$B2320&lt;'111'!$L$11),"x","")</f>
        <v/>
      </c>
    </row>
    <row r="2321" spans="1:19" ht="15.75" customHeight="1">
      <c r="A2321" s="152" t="str">
        <f>IF(B2321&lt;&gt;"",IF(AND(B2321='IN-TC'!$S$4,OR(TH!N2321="1111",TH!O2321="1111")),TH!D2321,""),"")</f>
        <v/>
      </c>
      <c r="B2321" s="34">
        <f t="shared" si="92"/>
        <v>1</v>
      </c>
      <c r="C2321" s="35">
        <f t="shared" si="93"/>
        <v>0</v>
      </c>
      <c r="D2321" s="212"/>
      <c r="E2321" s="35"/>
      <c r="F2321" s="144"/>
      <c r="G2321" s="191"/>
      <c r="H2321" s="198"/>
      <c r="I2321" s="186"/>
      <c r="J2321" s="186"/>
      <c r="K2321" s="185"/>
      <c r="L2321" s="186"/>
      <c r="M2321" s="36">
        <f t="shared" si="94"/>
        <v>0</v>
      </c>
      <c r="N2321" s="37" t="s">
        <v>1443</v>
      </c>
      <c r="O2321" s="37" t="s">
        <v>8</v>
      </c>
      <c r="P2321" s="47" t="str">
        <f>IF(AND('331-CT'!$F$5=TH!H2321,OR(N2321="331",O2321="331")),"x","")</f>
        <v/>
      </c>
      <c r="Q2321" s="47" t="str">
        <f>IF(AND(B2321='111'!$L$11,OR($N2321=$Q$7,$O2321=$Q$7)),"x","")</f>
        <v/>
      </c>
      <c r="R2321" s="47" t="str">
        <f>IF(AND($N2321=$Q$7,$B2321&lt;'111'!$L$11),"x","")</f>
        <v/>
      </c>
      <c r="S2321" s="47" t="str">
        <f>IF(AND($O2321=$Q$7,$B2321&lt;'111'!$L$11),"x","")</f>
        <v/>
      </c>
    </row>
    <row r="2322" spans="1:19" ht="15.75" customHeight="1">
      <c r="A2322" s="152" t="str">
        <f>IF(B2322&lt;&gt;"",IF(AND(B2322='IN-TC'!$S$4,OR(TH!N2322="1111",TH!O2322="1111")),TH!D2322,""),"")</f>
        <v/>
      </c>
      <c r="B2322" s="34">
        <f t="shared" si="92"/>
        <v>1</v>
      </c>
      <c r="C2322" s="35">
        <f t="shared" si="93"/>
        <v>0</v>
      </c>
      <c r="D2322" s="212"/>
      <c r="E2322" s="35"/>
      <c r="F2322" s="144"/>
      <c r="G2322" s="191"/>
      <c r="H2322" s="198"/>
      <c r="I2322" s="186"/>
      <c r="J2322" s="186"/>
      <c r="K2322" s="185"/>
      <c r="L2322" s="186"/>
      <c r="M2322" s="36">
        <f t="shared" si="94"/>
        <v>0</v>
      </c>
      <c r="N2322" s="37" t="s">
        <v>1443</v>
      </c>
      <c r="O2322" s="37" t="s">
        <v>8</v>
      </c>
      <c r="P2322" s="47" t="str">
        <f>IF(AND('331-CT'!$F$5=TH!H2322,OR(N2322="331",O2322="331")),"x","")</f>
        <v/>
      </c>
      <c r="Q2322" s="47" t="str">
        <f>IF(AND(B2322='111'!$L$11,OR($N2322=$Q$7,$O2322=$Q$7)),"x","")</f>
        <v/>
      </c>
      <c r="R2322" s="47" t="str">
        <f>IF(AND($N2322=$Q$7,$B2322&lt;'111'!$L$11),"x","")</f>
        <v/>
      </c>
      <c r="S2322" s="47" t="str">
        <f>IF(AND($O2322=$Q$7,$B2322&lt;'111'!$L$11),"x","")</f>
        <v/>
      </c>
    </row>
    <row r="2323" spans="1:19" ht="15.75" customHeight="1">
      <c r="A2323" s="152" t="str">
        <f>IF(B2323&lt;&gt;"",IF(AND(B2323='IN-TC'!$S$4,OR(TH!N2323="1111",TH!O2323="1111")),TH!D2323,""),"")</f>
        <v/>
      </c>
      <c r="B2323" s="34">
        <f t="shared" si="92"/>
        <v>1</v>
      </c>
      <c r="C2323" s="35">
        <f t="shared" si="93"/>
        <v>0</v>
      </c>
      <c r="D2323" s="212"/>
      <c r="E2323" s="35"/>
      <c r="F2323" s="144"/>
      <c r="G2323" s="191"/>
      <c r="H2323" s="198"/>
      <c r="I2323" s="186"/>
      <c r="J2323" s="186"/>
      <c r="K2323" s="185"/>
      <c r="L2323" s="186"/>
      <c r="M2323" s="36">
        <f t="shared" si="94"/>
        <v>0</v>
      </c>
      <c r="N2323" s="37" t="s">
        <v>1443</v>
      </c>
      <c r="O2323" s="37" t="s">
        <v>8</v>
      </c>
      <c r="P2323" s="47" t="str">
        <f>IF(AND('331-CT'!$F$5=TH!H2323,OR(N2323="331",O2323="331")),"x","")</f>
        <v/>
      </c>
      <c r="Q2323" s="47" t="str">
        <f>IF(AND(B2323='111'!$L$11,OR($N2323=$Q$7,$O2323=$Q$7)),"x","")</f>
        <v/>
      </c>
      <c r="R2323" s="47" t="str">
        <f>IF(AND($N2323=$Q$7,$B2323&lt;'111'!$L$11),"x","")</f>
        <v/>
      </c>
      <c r="S2323" s="47" t="str">
        <f>IF(AND($O2323=$Q$7,$B2323&lt;'111'!$L$11),"x","")</f>
        <v/>
      </c>
    </row>
    <row r="2324" spans="1:19" ht="15.75" customHeight="1">
      <c r="A2324" s="152" t="str">
        <f>IF(B2324&lt;&gt;"",IF(AND(B2324='IN-TC'!$S$4,OR(TH!N2324="1111",TH!O2324="1111")),TH!D2324,""),"")</f>
        <v/>
      </c>
      <c r="B2324" s="34">
        <f t="shared" si="92"/>
        <v>1</v>
      </c>
      <c r="C2324" s="35">
        <f t="shared" si="93"/>
        <v>0</v>
      </c>
      <c r="D2324" s="212"/>
      <c r="E2324" s="35"/>
      <c r="F2324" s="144"/>
      <c r="G2324" s="191"/>
      <c r="H2324" s="198"/>
      <c r="I2324" s="186"/>
      <c r="J2324" s="186"/>
      <c r="K2324" s="185"/>
      <c r="L2324" s="186"/>
      <c r="M2324" s="36">
        <f t="shared" si="94"/>
        <v>0</v>
      </c>
      <c r="N2324" s="37" t="s">
        <v>1443</v>
      </c>
      <c r="O2324" s="37" t="s">
        <v>8</v>
      </c>
      <c r="P2324" s="47" t="str">
        <f>IF(AND('331-CT'!$F$5=TH!H2324,OR(N2324="331",O2324="331")),"x","")</f>
        <v/>
      </c>
      <c r="Q2324" s="47" t="str">
        <f>IF(AND(B2324='111'!$L$11,OR($N2324=$Q$7,$O2324=$Q$7)),"x","")</f>
        <v/>
      </c>
      <c r="R2324" s="47" t="str">
        <f>IF(AND($N2324=$Q$7,$B2324&lt;'111'!$L$11),"x","")</f>
        <v/>
      </c>
      <c r="S2324" s="47" t="str">
        <f>IF(AND($O2324=$Q$7,$B2324&lt;'111'!$L$11),"x","")</f>
        <v/>
      </c>
    </row>
    <row r="2325" spans="1:19" ht="15.75" customHeight="1">
      <c r="A2325" s="152" t="str">
        <f>IF(B2325&lt;&gt;"",IF(AND(B2325='IN-TC'!$S$4,OR(TH!N2325="1111",TH!O2325="1111")),TH!D2325,""),"")</f>
        <v/>
      </c>
      <c r="B2325" s="34">
        <f t="shared" si="92"/>
        <v>1</v>
      </c>
      <c r="C2325" s="35">
        <f t="shared" si="93"/>
        <v>0</v>
      </c>
      <c r="D2325" s="212"/>
      <c r="E2325" s="35"/>
      <c r="F2325" s="144"/>
      <c r="G2325" s="191"/>
      <c r="H2325" s="198"/>
      <c r="I2325" s="186"/>
      <c r="J2325" s="186"/>
      <c r="K2325" s="185"/>
      <c r="L2325" s="186"/>
      <c r="M2325" s="36">
        <f t="shared" si="94"/>
        <v>0</v>
      </c>
      <c r="N2325" s="37" t="s">
        <v>1443</v>
      </c>
      <c r="O2325" s="37" t="s">
        <v>8</v>
      </c>
      <c r="P2325" s="47" t="str">
        <f>IF(AND('331-CT'!$F$5=TH!H2325,OR(N2325="331",O2325="331")),"x","")</f>
        <v/>
      </c>
      <c r="Q2325" s="47" t="str">
        <f>IF(AND(B2325='111'!$L$11,OR($N2325=$Q$7,$O2325=$Q$7)),"x","")</f>
        <v/>
      </c>
      <c r="R2325" s="47" t="str">
        <f>IF(AND($N2325=$Q$7,$B2325&lt;'111'!$L$11),"x","")</f>
        <v/>
      </c>
      <c r="S2325" s="47" t="str">
        <f>IF(AND($O2325=$Q$7,$B2325&lt;'111'!$L$11),"x","")</f>
        <v/>
      </c>
    </row>
    <row r="2326" spans="1:19" ht="15.75" customHeight="1">
      <c r="A2326" s="152" t="str">
        <f>IF(B2326&lt;&gt;"",IF(AND(B2326='IN-TC'!$S$4,OR(TH!N2326="1111",TH!O2326="1111")),TH!D2326,""),"")</f>
        <v/>
      </c>
      <c r="B2326" s="34">
        <f t="shared" si="92"/>
        <v>1</v>
      </c>
      <c r="C2326" s="35">
        <f t="shared" si="93"/>
        <v>0</v>
      </c>
      <c r="D2326" s="212"/>
      <c r="E2326" s="35"/>
      <c r="F2326" s="144"/>
      <c r="G2326" s="191"/>
      <c r="H2326" s="198"/>
      <c r="I2326" s="186"/>
      <c r="J2326" s="186"/>
      <c r="K2326" s="185"/>
      <c r="L2326" s="186"/>
      <c r="M2326" s="36">
        <f t="shared" si="94"/>
        <v>0</v>
      </c>
      <c r="N2326" s="37" t="s">
        <v>1443</v>
      </c>
      <c r="O2326" s="37" t="s">
        <v>8</v>
      </c>
      <c r="P2326" s="47" t="str">
        <f>IF(AND('331-CT'!$F$5=TH!H2326,OR(N2326="331",O2326="331")),"x","")</f>
        <v/>
      </c>
      <c r="Q2326" s="47" t="str">
        <f>IF(AND(B2326='111'!$L$11,OR($N2326=$Q$7,$O2326=$Q$7)),"x","")</f>
        <v/>
      </c>
      <c r="R2326" s="47" t="str">
        <f>IF(AND($N2326=$Q$7,$B2326&lt;'111'!$L$11),"x","")</f>
        <v/>
      </c>
      <c r="S2326" s="47" t="str">
        <f>IF(AND($O2326=$Q$7,$B2326&lt;'111'!$L$11),"x","")</f>
        <v/>
      </c>
    </row>
    <row r="2327" spans="1:19" ht="15.75" customHeight="1">
      <c r="A2327" s="152" t="str">
        <f>IF(B2327&lt;&gt;"",IF(AND(B2327='IN-TC'!$S$4,OR(TH!N2327="1111",TH!O2327="1111")),TH!D2327,""),"")</f>
        <v/>
      </c>
      <c r="B2327" s="34">
        <f t="shared" si="92"/>
        <v>1</v>
      </c>
      <c r="C2327" s="35">
        <f t="shared" si="93"/>
        <v>0</v>
      </c>
      <c r="D2327" s="212"/>
      <c r="E2327" s="35"/>
      <c r="F2327" s="144"/>
      <c r="G2327" s="191"/>
      <c r="H2327" s="198"/>
      <c r="I2327" s="186"/>
      <c r="J2327" s="186"/>
      <c r="K2327" s="185"/>
      <c r="L2327" s="186"/>
      <c r="M2327" s="36">
        <f t="shared" si="94"/>
        <v>0</v>
      </c>
      <c r="N2327" s="37" t="s">
        <v>1443</v>
      </c>
      <c r="O2327" s="37" t="s">
        <v>8</v>
      </c>
      <c r="P2327" s="47" t="str">
        <f>IF(AND('331-CT'!$F$5=TH!H2327,OR(N2327="331",O2327="331")),"x","")</f>
        <v/>
      </c>
      <c r="Q2327" s="47" t="str">
        <f>IF(AND(B2327='111'!$L$11,OR($N2327=$Q$7,$O2327=$Q$7)),"x","")</f>
        <v/>
      </c>
      <c r="R2327" s="47" t="str">
        <f>IF(AND($N2327=$Q$7,$B2327&lt;'111'!$L$11),"x","")</f>
        <v/>
      </c>
      <c r="S2327" s="47" t="str">
        <f>IF(AND($O2327=$Q$7,$B2327&lt;'111'!$L$11),"x","")</f>
        <v/>
      </c>
    </row>
    <row r="2328" spans="1:19" ht="15.75" customHeight="1">
      <c r="A2328" s="152" t="str">
        <f>IF(B2328&lt;&gt;"",IF(AND(B2328='IN-TC'!$S$4,OR(TH!N2328="1111",TH!O2328="1111")),TH!D2328,""),"")</f>
        <v/>
      </c>
      <c r="B2328" s="34">
        <f t="shared" si="92"/>
        <v>1</v>
      </c>
      <c r="C2328" s="35">
        <f t="shared" si="93"/>
        <v>0</v>
      </c>
      <c r="D2328" s="212"/>
      <c r="E2328" s="35"/>
      <c r="F2328" s="144"/>
      <c r="G2328" s="191"/>
      <c r="H2328" s="198"/>
      <c r="I2328" s="186"/>
      <c r="J2328" s="186"/>
      <c r="K2328" s="185"/>
      <c r="L2328" s="186"/>
      <c r="M2328" s="36">
        <f t="shared" si="94"/>
        <v>0</v>
      </c>
      <c r="N2328" s="37" t="s">
        <v>1443</v>
      </c>
      <c r="O2328" s="37" t="s">
        <v>8</v>
      </c>
      <c r="P2328" s="47" t="str">
        <f>IF(AND('331-CT'!$F$5=TH!H2328,OR(N2328="331",O2328="331")),"x","")</f>
        <v/>
      </c>
      <c r="Q2328" s="47" t="str">
        <f>IF(AND(B2328='111'!$L$11,OR($N2328=$Q$7,$O2328=$Q$7)),"x","")</f>
        <v/>
      </c>
      <c r="R2328" s="47" t="str">
        <f>IF(AND($N2328=$Q$7,$B2328&lt;'111'!$L$11),"x","")</f>
        <v/>
      </c>
      <c r="S2328" s="47" t="str">
        <f>IF(AND($O2328=$Q$7,$B2328&lt;'111'!$L$11),"x","")</f>
        <v/>
      </c>
    </row>
    <row r="2329" spans="1:19" ht="15.75" customHeight="1">
      <c r="A2329" s="152" t="str">
        <f>IF(B2329&lt;&gt;"",IF(AND(B2329='IN-TC'!$S$4,OR(TH!N2329="1111",TH!O2329="1111")),TH!D2329,""),"")</f>
        <v/>
      </c>
      <c r="B2329" s="34">
        <f t="shared" si="92"/>
        <v>1</v>
      </c>
      <c r="C2329" s="35">
        <f t="shared" si="93"/>
        <v>0</v>
      </c>
      <c r="D2329" s="212"/>
      <c r="E2329" s="35"/>
      <c r="F2329" s="144"/>
      <c r="G2329" s="191"/>
      <c r="H2329" s="198"/>
      <c r="I2329" s="186"/>
      <c r="J2329" s="186"/>
      <c r="K2329" s="185"/>
      <c r="L2329" s="186"/>
      <c r="M2329" s="36">
        <f t="shared" si="94"/>
        <v>0</v>
      </c>
      <c r="N2329" s="37" t="s">
        <v>1443</v>
      </c>
      <c r="O2329" s="37" t="s">
        <v>8</v>
      </c>
      <c r="P2329" s="47" t="str">
        <f>IF(AND('331-CT'!$F$5=TH!H2329,OR(N2329="331",O2329="331")),"x","")</f>
        <v/>
      </c>
      <c r="Q2329" s="47" t="str">
        <f>IF(AND(B2329='111'!$L$11,OR($N2329=$Q$7,$O2329=$Q$7)),"x","")</f>
        <v/>
      </c>
      <c r="R2329" s="47" t="str">
        <f>IF(AND($N2329=$Q$7,$B2329&lt;'111'!$L$11),"x","")</f>
        <v/>
      </c>
      <c r="S2329" s="47" t="str">
        <f>IF(AND($O2329=$Q$7,$B2329&lt;'111'!$L$11),"x","")</f>
        <v/>
      </c>
    </row>
    <row r="2330" spans="1:19" ht="15.75" customHeight="1">
      <c r="A2330" s="152" t="str">
        <f>IF(B2330&lt;&gt;"",IF(AND(B2330='IN-TC'!$S$4,OR(TH!N2330="1111",TH!O2330="1111")),TH!D2330,""),"")</f>
        <v/>
      </c>
      <c r="B2330" s="34">
        <f t="shared" si="92"/>
        <v>1</v>
      </c>
      <c r="C2330" s="35">
        <f t="shared" si="93"/>
        <v>0</v>
      </c>
      <c r="D2330" s="212"/>
      <c r="E2330" s="35"/>
      <c r="F2330" s="144"/>
      <c r="G2330" s="191"/>
      <c r="H2330" s="198"/>
      <c r="I2330" s="186"/>
      <c r="J2330" s="186"/>
      <c r="K2330" s="185"/>
      <c r="L2330" s="186"/>
      <c r="M2330" s="36">
        <f t="shared" si="94"/>
        <v>0</v>
      </c>
      <c r="N2330" s="37" t="s">
        <v>1443</v>
      </c>
      <c r="O2330" s="37" t="s">
        <v>8</v>
      </c>
      <c r="P2330" s="47" t="str">
        <f>IF(AND('331-CT'!$F$5=TH!H2330,OR(N2330="331",O2330="331")),"x","")</f>
        <v/>
      </c>
      <c r="Q2330" s="47" t="str">
        <f>IF(AND(B2330='111'!$L$11,OR($N2330=$Q$7,$O2330=$Q$7)),"x","")</f>
        <v/>
      </c>
      <c r="R2330" s="47" t="str">
        <f>IF(AND($N2330=$Q$7,$B2330&lt;'111'!$L$11),"x","")</f>
        <v/>
      </c>
      <c r="S2330" s="47" t="str">
        <f>IF(AND($O2330=$Q$7,$B2330&lt;'111'!$L$11),"x","")</f>
        <v/>
      </c>
    </row>
    <row r="2331" spans="1:19" ht="15.75" customHeight="1">
      <c r="A2331" s="152" t="str">
        <f>IF(B2331&lt;&gt;"",IF(AND(B2331='IN-TC'!$S$4,OR(TH!N2331="1111",TH!O2331="1111")),TH!D2331,""),"")</f>
        <v/>
      </c>
      <c r="B2331" s="34">
        <f t="shared" si="92"/>
        <v>1</v>
      </c>
      <c r="C2331" s="35">
        <f t="shared" si="93"/>
        <v>0</v>
      </c>
      <c r="D2331" s="212"/>
      <c r="E2331" s="35"/>
      <c r="F2331" s="144"/>
      <c r="G2331" s="191"/>
      <c r="H2331" s="198"/>
      <c r="I2331" s="186"/>
      <c r="J2331" s="186"/>
      <c r="K2331" s="185"/>
      <c r="L2331" s="186"/>
      <c r="M2331" s="36">
        <f t="shared" si="94"/>
        <v>0</v>
      </c>
      <c r="N2331" s="37" t="s">
        <v>1443</v>
      </c>
      <c r="O2331" s="37" t="s">
        <v>8</v>
      </c>
      <c r="P2331" s="47" t="str">
        <f>IF(AND('331-CT'!$F$5=TH!H2331,OR(N2331="331",O2331="331")),"x","")</f>
        <v/>
      </c>
      <c r="Q2331" s="47" t="str">
        <f>IF(AND(B2331='111'!$L$11,OR($N2331=$Q$7,$O2331=$Q$7)),"x","")</f>
        <v/>
      </c>
      <c r="R2331" s="47" t="str">
        <f>IF(AND($N2331=$Q$7,$B2331&lt;'111'!$L$11),"x","")</f>
        <v/>
      </c>
      <c r="S2331" s="47" t="str">
        <f>IF(AND($O2331=$Q$7,$B2331&lt;'111'!$L$11),"x","")</f>
        <v/>
      </c>
    </row>
    <row r="2332" spans="1:19" ht="15.75" customHeight="1">
      <c r="A2332" s="152" t="str">
        <f>IF(B2332&lt;&gt;"",IF(AND(B2332='IN-TC'!$S$4,OR(TH!N2332="1111",TH!O2332="1111")),TH!D2332,""),"")</f>
        <v/>
      </c>
      <c r="B2332" s="34">
        <f t="shared" si="92"/>
        <v>1</v>
      </c>
      <c r="C2332" s="35">
        <f t="shared" si="93"/>
        <v>0</v>
      </c>
      <c r="D2332" s="212"/>
      <c r="E2332" s="35"/>
      <c r="F2332" s="144"/>
      <c r="G2332" s="191"/>
      <c r="H2332" s="198"/>
      <c r="I2332" s="186"/>
      <c r="J2332" s="186"/>
      <c r="K2332" s="185"/>
      <c r="L2332" s="186"/>
      <c r="M2332" s="36">
        <f t="shared" si="94"/>
        <v>0</v>
      </c>
      <c r="N2332" s="37" t="s">
        <v>1443</v>
      </c>
      <c r="O2332" s="37" t="s">
        <v>8</v>
      </c>
      <c r="P2332" s="47" t="str">
        <f>IF(AND('331-CT'!$F$5=TH!H2332,OR(N2332="331",O2332="331")),"x","")</f>
        <v/>
      </c>
      <c r="Q2332" s="47" t="str">
        <f>IF(AND(B2332='111'!$L$11,OR($N2332=$Q$7,$O2332=$Q$7)),"x","")</f>
        <v/>
      </c>
      <c r="R2332" s="47" t="str">
        <f>IF(AND($N2332=$Q$7,$B2332&lt;'111'!$L$11),"x","")</f>
        <v/>
      </c>
      <c r="S2332" s="47" t="str">
        <f>IF(AND($O2332=$Q$7,$B2332&lt;'111'!$L$11),"x","")</f>
        <v/>
      </c>
    </row>
    <row r="2333" spans="1:19" ht="15.75" customHeight="1">
      <c r="A2333" s="152" t="str">
        <f>IF(B2333&lt;&gt;"",IF(AND(B2333='IN-TC'!$S$4,OR(TH!N2333="1111",TH!O2333="1111")),TH!D2333,""),"")</f>
        <v/>
      </c>
      <c r="B2333" s="34">
        <f t="shared" si="92"/>
        <v>1</v>
      </c>
      <c r="C2333" s="35">
        <f t="shared" si="93"/>
        <v>0</v>
      </c>
      <c r="D2333" s="212"/>
      <c r="E2333" s="35"/>
      <c r="F2333" s="144"/>
      <c r="G2333" s="191"/>
      <c r="H2333" s="198"/>
      <c r="I2333" s="186"/>
      <c r="J2333" s="186"/>
      <c r="K2333" s="185"/>
      <c r="L2333" s="186"/>
      <c r="M2333" s="36">
        <f t="shared" si="94"/>
        <v>0</v>
      </c>
      <c r="N2333" s="37" t="s">
        <v>1443</v>
      </c>
      <c r="O2333" s="37" t="s">
        <v>8</v>
      </c>
      <c r="P2333" s="47" t="str">
        <f>IF(AND('331-CT'!$F$5=TH!H2333,OR(N2333="331",O2333="331")),"x","")</f>
        <v/>
      </c>
      <c r="Q2333" s="47" t="str">
        <f>IF(AND(B2333='111'!$L$11,OR($N2333=$Q$7,$O2333=$Q$7)),"x","")</f>
        <v/>
      </c>
      <c r="R2333" s="47" t="str">
        <f>IF(AND($N2333=$Q$7,$B2333&lt;'111'!$L$11),"x","")</f>
        <v/>
      </c>
      <c r="S2333" s="47" t="str">
        <f>IF(AND($O2333=$Q$7,$B2333&lt;'111'!$L$11),"x","")</f>
        <v/>
      </c>
    </row>
    <row r="2334" spans="1:19" ht="15.75" customHeight="1">
      <c r="A2334" s="152" t="str">
        <f>IF(B2334&lt;&gt;"",IF(AND(B2334='IN-TC'!$S$4,OR(TH!N2334="1111",TH!O2334="1111")),TH!D2334,""),"")</f>
        <v/>
      </c>
      <c r="B2334" s="34">
        <f t="shared" si="92"/>
        <v>1</v>
      </c>
      <c r="C2334" s="35">
        <f t="shared" si="93"/>
        <v>0</v>
      </c>
      <c r="D2334" s="212"/>
      <c r="E2334" s="35"/>
      <c r="F2334" s="144"/>
      <c r="G2334" s="191"/>
      <c r="H2334" s="198"/>
      <c r="I2334" s="186"/>
      <c r="J2334" s="186"/>
      <c r="K2334" s="185"/>
      <c r="L2334" s="186"/>
      <c r="M2334" s="36">
        <f t="shared" si="94"/>
        <v>0</v>
      </c>
      <c r="N2334" s="37" t="s">
        <v>1443</v>
      </c>
      <c r="O2334" s="37" t="s">
        <v>8</v>
      </c>
      <c r="P2334" s="47" t="str">
        <f>IF(AND('331-CT'!$F$5=TH!H2334,OR(N2334="331",O2334="331")),"x","")</f>
        <v/>
      </c>
      <c r="Q2334" s="47" t="str">
        <f>IF(AND(B2334='111'!$L$11,OR($N2334=$Q$7,$O2334=$Q$7)),"x","")</f>
        <v/>
      </c>
      <c r="R2334" s="47" t="str">
        <f>IF(AND($N2334=$Q$7,$B2334&lt;'111'!$L$11),"x","")</f>
        <v/>
      </c>
      <c r="S2334" s="47" t="str">
        <f>IF(AND($O2334=$Q$7,$B2334&lt;'111'!$L$11),"x","")</f>
        <v/>
      </c>
    </row>
    <row r="2335" spans="1:19" ht="15.75" customHeight="1">
      <c r="A2335" s="152" t="str">
        <f>IF(B2335&lt;&gt;"",IF(AND(B2335='IN-TC'!$S$4,OR(TH!N2335="1111",TH!O2335="1111")),TH!D2335,""),"")</f>
        <v/>
      </c>
      <c r="B2335" s="34">
        <f t="shared" si="92"/>
        <v>1</v>
      </c>
      <c r="C2335" s="35">
        <f t="shared" si="93"/>
        <v>0</v>
      </c>
      <c r="D2335" s="212"/>
      <c r="E2335" s="35"/>
      <c r="F2335" s="144"/>
      <c r="G2335" s="191"/>
      <c r="H2335" s="198"/>
      <c r="I2335" s="186"/>
      <c r="J2335" s="186"/>
      <c r="K2335" s="185"/>
      <c r="L2335" s="186"/>
      <c r="M2335" s="36">
        <f t="shared" si="94"/>
        <v>0</v>
      </c>
      <c r="N2335" s="37" t="s">
        <v>1443</v>
      </c>
      <c r="O2335" s="37" t="s">
        <v>8</v>
      </c>
      <c r="P2335" s="47" t="str">
        <f>IF(AND('331-CT'!$F$5=TH!H2335,OR(N2335="331",O2335="331")),"x","")</f>
        <v/>
      </c>
      <c r="Q2335" s="47" t="str">
        <f>IF(AND(B2335='111'!$L$11,OR($N2335=$Q$7,$O2335=$Q$7)),"x","")</f>
        <v/>
      </c>
      <c r="R2335" s="47" t="str">
        <f>IF(AND($N2335=$Q$7,$B2335&lt;'111'!$L$11),"x","")</f>
        <v/>
      </c>
      <c r="S2335" s="47" t="str">
        <f>IF(AND($O2335=$Q$7,$B2335&lt;'111'!$L$11),"x","")</f>
        <v/>
      </c>
    </row>
    <row r="2336" spans="1:19" ht="15.75" customHeight="1">
      <c r="A2336" s="152" t="str">
        <f>IF(B2336&lt;&gt;"",IF(AND(B2336='IN-TC'!$S$4,OR(TH!N2336="1111",TH!O2336="1111")),TH!D2336,""),"")</f>
        <v/>
      </c>
      <c r="B2336" s="34">
        <f t="shared" si="92"/>
        <v>1</v>
      </c>
      <c r="C2336" s="35">
        <f t="shared" si="93"/>
        <v>0</v>
      </c>
      <c r="D2336" s="212"/>
      <c r="E2336" s="35"/>
      <c r="F2336" s="144"/>
      <c r="G2336" s="191"/>
      <c r="H2336" s="198"/>
      <c r="I2336" s="186"/>
      <c r="J2336" s="186"/>
      <c r="K2336" s="185"/>
      <c r="L2336" s="186"/>
      <c r="M2336" s="36">
        <f t="shared" si="94"/>
        <v>0</v>
      </c>
      <c r="N2336" s="37" t="s">
        <v>1443</v>
      </c>
      <c r="O2336" s="37" t="s">
        <v>8</v>
      </c>
      <c r="P2336" s="47" t="str">
        <f>IF(AND('331-CT'!$F$5=TH!H2336,OR(N2336="331",O2336="331")),"x","")</f>
        <v/>
      </c>
      <c r="Q2336" s="47" t="str">
        <f>IF(AND(B2336='111'!$L$11,OR($N2336=$Q$7,$O2336=$Q$7)),"x","")</f>
        <v/>
      </c>
      <c r="R2336" s="47" t="str">
        <f>IF(AND($N2336=$Q$7,$B2336&lt;'111'!$L$11),"x","")</f>
        <v/>
      </c>
      <c r="S2336" s="47" t="str">
        <f>IF(AND($O2336=$Q$7,$B2336&lt;'111'!$L$11),"x","")</f>
        <v/>
      </c>
    </row>
    <row r="2337" spans="1:19" ht="15.75" customHeight="1">
      <c r="A2337" s="152" t="str">
        <f>IF(B2337&lt;&gt;"",IF(AND(B2337='IN-TC'!$S$4,OR(TH!N2337="1111",TH!O2337="1111")),TH!D2337,""),"")</f>
        <v/>
      </c>
      <c r="B2337" s="34">
        <f t="shared" si="92"/>
        <v>1</v>
      </c>
      <c r="C2337" s="35">
        <f t="shared" si="93"/>
        <v>0</v>
      </c>
      <c r="D2337" s="212"/>
      <c r="E2337" s="35"/>
      <c r="F2337" s="144"/>
      <c r="G2337" s="191"/>
      <c r="H2337" s="198"/>
      <c r="I2337" s="186"/>
      <c r="J2337" s="186"/>
      <c r="K2337" s="185"/>
      <c r="L2337" s="186"/>
      <c r="M2337" s="36">
        <f t="shared" si="94"/>
        <v>0</v>
      </c>
      <c r="N2337" s="37" t="s">
        <v>1443</v>
      </c>
      <c r="O2337" s="37" t="s">
        <v>8</v>
      </c>
      <c r="P2337" s="47" t="str">
        <f>IF(AND('331-CT'!$F$5=TH!H2337,OR(N2337="331",O2337="331")),"x","")</f>
        <v/>
      </c>
      <c r="Q2337" s="47" t="str">
        <f>IF(AND(B2337='111'!$L$11,OR($N2337=$Q$7,$O2337=$Q$7)),"x","")</f>
        <v/>
      </c>
      <c r="R2337" s="47" t="str">
        <f>IF(AND($N2337=$Q$7,$B2337&lt;'111'!$L$11),"x","")</f>
        <v/>
      </c>
      <c r="S2337" s="47" t="str">
        <f>IF(AND($O2337=$Q$7,$B2337&lt;'111'!$L$11),"x","")</f>
        <v/>
      </c>
    </row>
    <row r="2338" spans="1:19" ht="15.75" customHeight="1">
      <c r="A2338" s="152" t="str">
        <f>IF(B2338&lt;&gt;"",IF(AND(B2338='IN-TC'!$S$4,OR(TH!N2338="1111",TH!O2338="1111")),TH!D2338,""),"")</f>
        <v/>
      </c>
      <c r="B2338" s="34">
        <f t="shared" si="92"/>
        <v>1</v>
      </c>
      <c r="C2338" s="35">
        <f t="shared" si="93"/>
        <v>0</v>
      </c>
      <c r="D2338" s="212"/>
      <c r="E2338" s="35"/>
      <c r="F2338" s="144"/>
      <c r="G2338" s="191"/>
      <c r="H2338" s="198"/>
      <c r="I2338" s="186"/>
      <c r="J2338" s="186"/>
      <c r="K2338" s="185"/>
      <c r="L2338" s="186"/>
      <c r="M2338" s="36">
        <f t="shared" si="94"/>
        <v>0</v>
      </c>
      <c r="N2338" s="37" t="s">
        <v>1443</v>
      </c>
      <c r="O2338" s="37" t="s">
        <v>8</v>
      </c>
      <c r="P2338" s="47" t="str">
        <f>IF(AND('331-CT'!$F$5=TH!H2338,OR(N2338="331",O2338="331")),"x","")</f>
        <v/>
      </c>
      <c r="Q2338" s="47" t="str">
        <f>IF(AND(B2338='111'!$L$11,OR($N2338=$Q$7,$O2338=$Q$7)),"x","")</f>
        <v/>
      </c>
      <c r="R2338" s="47" t="str">
        <f>IF(AND($N2338=$Q$7,$B2338&lt;'111'!$L$11),"x","")</f>
        <v/>
      </c>
      <c r="S2338" s="47" t="str">
        <f>IF(AND($O2338=$Q$7,$B2338&lt;'111'!$L$11),"x","")</f>
        <v/>
      </c>
    </row>
    <row r="2339" spans="1:19" ht="15.75" customHeight="1">
      <c r="A2339" s="152" t="str">
        <f>IF(B2339&lt;&gt;"",IF(AND(B2339='IN-TC'!$S$4,OR(TH!N2339="1111",TH!O2339="1111")),TH!D2339,""),"")</f>
        <v/>
      </c>
      <c r="B2339" s="34">
        <f t="shared" si="92"/>
        <v>1</v>
      </c>
      <c r="C2339" s="35">
        <f t="shared" si="93"/>
        <v>0</v>
      </c>
      <c r="D2339" s="212"/>
      <c r="E2339" s="35"/>
      <c r="F2339" s="144"/>
      <c r="G2339" s="191"/>
      <c r="H2339" s="198"/>
      <c r="I2339" s="186"/>
      <c r="J2339" s="186"/>
      <c r="K2339" s="185"/>
      <c r="L2339" s="186"/>
      <c r="M2339" s="36">
        <f t="shared" si="94"/>
        <v>0</v>
      </c>
      <c r="N2339" s="37" t="s">
        <v>1443</v>
      </c>
      <c r="O2339" s="37" t="s">
        <v>8</v>
      </c>
      <c r="P2339" s="47" t="str">
        <f>IF(AND('331-CT'!$F$5=TH!H2339,OR(N2339="331",O2339="331")),"x","")</f>
        <v/>
      </c>
      <c r="Q2339" s="47" t="str">
        <f>IF(AND(B2339='111'!$L$11,OR($N2339=$Q$7,$O2339=$Q$7)),"x","")</f>
        <v/>
      </c>
      <c r="R2339" s="47" t="str">
        <f>IF(AND($N2339=$Q$7,$B2339&lt;'111'!$L$11),"x","")</f>
        <v/>
      </c>
      <c r="S2339" s="47" t="str">
        <f>IF(AND($O2339=$Q$7,$B2339&lt;'111'!$L$11),"x","")</f>
        <v/>
      </c>
    </row>
    <row r="2340" spans="1:19" ht="15.75" customHeight="1">
      <c r="A2340" s="152" t="str">
        <f>IF(B2340&lt;&gt;"",IF(AND(B2340='IN-TC'!$S$4,OR(TH!N2340="1111",TH!O2340="1111")),TH!D2340,""),"")</f>
        <v/>
      </c>
      <c r="B2340" s="34">
        <f t="shared" si="92"/>
        <v>1</v>
      </c>
      <c r="C2340" s="35">
        <f t="shared" si="93"/>
        <v>0</v>
      </c>
      <c r="D2340" s="212"/>
      <c r="E2340" s="35"/>
      <c r="F2340" s="144"/>
      <c r="G2340" s="191"/>
      <c r="H2340" s="198"/>
      <c r="I2340" s="186"/>
      <c r="J2340" s="186"/>
      <c r="K2340" s="185"/>
      <c r="L2340" s="186"/>
      <c r="M2340" s="36">
        <f t="shared" si="94"/>
        <v>0</v>
      </c>
      <c r="N2340" s="37" t="s">
        <v>1443</v>
      </c>
      <c r="O2340" s="37" t="s">
        <v>8</v>
      </c>
      <c r="P2340" s="47" t="str">
        <f>IF(AND('331-CT'!$F$5=TH!H2340,OR(N2340="331",O2340="331")),"x","")</f>
        <v/>
      </c>
      <c r="Q2340" s="47" t="str">
        <f>IF(AND(B2340='111'!$L$11,OR($N2340=$Q$7,$O2340=$Q$7)),"x","")</f>
        <v/>
      </c>
      <c r="R2340" s="47" t="str">
        <f>IF(AND($N2340=$Q$7,$B2340&lt;'111'!$L$11),"x","")</f>
        <v/>
      </c>
      <c r="S2340" s="47" t="str">
        <f>IF(AND($O2340=$Q$7,$B2340&lt;'111'!$L$11),"x","")</f>
        <v/>
      </c>
    </row>
    <row r="2341" spans="1:19" ht="15.75" customHeight="1">
      <c r="A2341" s="152" t="str">
        <f>IF(B2341&lt;&gt;"",IF(AND(B2341='IN-TC'!$S$4,OR(TH!N2341="1111",TH!O2341="1111")),TH!D2341,""),"")</f>
        <v/>
      </c>
      <c r="B2341" s="34">
        <f t="shared" si="92"/>
        <v>1</v>
      </c>
      <c r="C2341" s="35">
        <f t="shared" si="93"/>
        <v>0</v>
      </c>
      <c r="D2341" s="212"/>
      <c r="E2341" s="35"/>
      <c r="F2341" s="144"/>
      <c r="G2341" s="191"/>
      <c r="H2341" s="198"/>
      <c r="I2341" s="186"/>
      <c r="J2341" s="186"/>
      <c r="K2341" s="185"/>
      <c r="L2341" s="186"/>
      <c r="M2341" s="36">
        <f t="shared" si="94"/>
        <v>0</v>
      </c>
      <c r="N2341" s="37" t="s">
        <v>1443</v>
      </c>
      <c r="O2341" s="37" t="s">
        <v>8</v>
      </c>
      <c r="P2341" s="47" t="str">
        <f>IF(AND('331-CT'!$F$5=TH!H2341,OR(N2341="331",O2341="331")),"x","")</f>
        <v/>
      </c>
      <c r="Q2341" s="47" t="str">
        <f>IF(AND(B2341='111'!$L$11,OR($N2341=$Q$7,$O2341=$Q$7)),"x","")</f>
        <v/>
      </c>
      <c r="R2341" s="47" t="str">
        <f>IF(AND($N2341=$Q$7,$B2341&lt;'111'!$L$11),"x","")</f>
        <v/>
      </c>
      <c r="S2341" s="47" t="str">
        <f>IF(AND($O2341=$Q$7,$B2341&lt;'111'!$L$11),"x","")</f>
        <v/>
      </c>
    </row>
    <row r="2342" spans="1:19" ht="15.75" customHeight="1">
      <c r="A2342" s="152" t="str">
        <f>IF(B2342&lt;&gt;"",IF(AND(B2342='IN-TC'!$S$4,OR(TH!N2342="1111",TH!O2342="1111")),TH!D2342,""),"")</f>
        <v/>
      </c>
      <c r="B2342" s="34">
        <f t="shared" si="92"/>
        <v>1</v>
      </c>
      <c r="C2342" s="35">
        <f t="shared" si="93"/>
        <v>0</v>
      </c>
      <c r="D2342" s="212"/>
      <c r="E2342" s="35"/>
      <c r="F2342" s="144"/>
      <c r="G2342" s="191"/>
      <c r="H2342" s="198"/>
      <c r="I2342" s="186"/>
      <c r="J2342" s="186"/>
      <c r="K2342" s="185"/>
      <c r="L2342" s="186"/>
      <c r="M2342" s="36">
        <f t="shared" si="94"/>
        <v>0</v>
      </c>
      <c r="N2342" s="37" t="s">
        <v>1443</v>
      </c>
      <c r="O2342" s="37" t="s">
        <v>8</v>
      </c>
      <c r="P2342" s="47" t="str">
        <f>IF(AND('331-CT'!$F$5=TH!H2342,OR(N2342="331",O2342="331")),"x","")</f>
        <v/>
      </c>
      <c r="Q2342" s="47" t="str">
        <f>IF(AND(B2342='111'!$L$11,OR($N2342=$Q$7,$O2342=$Q$7)),"x","")</f>
        <v/>
      </c>
      <c r="R2342" s="47" t="str">
        <f>IF(AND($N2342=$Q$7,$B2342&lt;'111'!$L$11),"x","")</f>
        <v/>
      </c>
      <c r="S2342" s="47" t="str">
        <f>IF(AND($O2342=$Q$7,$B2342&lt;'111'!$L$11),"x","")</f>
        <v/>
      </c>
    </row>
    <row r="2343" spans="1:19" ht="15.75" customHeight="1">
      <c r="A2343" s="152" t="str">
        <f>IF(B2343&lt;&gt;"",IF(AND(B2343='IN-TC'!$S$4,OR(TH!N2343="1111",TH!O2343="1111")),TH!D2343,""),"")</f>
        <v/>
      </c>
      <c r="B2343" s="34">
        <f t="shared" ref="B2343:B2368" si="95">IF(C2343&lt;&gt;"",MONTH(C2343),"")</f>
        <v>1</v>
      </c>
      <c r="C2343" s="35">
        <f t="shared" ref="C2343:C2368" si="96">E2343</f>
        <v>0</v>
      </c>
      <c r="D2343" s="212"/>
      <c r="E2343" s="35"/>
      <c r="F2343" s="144"/>
      <c r="G2343" s="191"/>
      <c r="H2343" s="198"/>
      <c r="I2343" s="186"/>
      <c r="J2343" s="186"/>
      <c r="K2343" s="185"/>
      <c r="L2343" s="186"/>
      <c r="M2343" s="36">
        <f t="shared" si="94"/>
        <v>0</v>
      </c>
      <c r="N2343" s="37" t="s">
        <v>1443</v>
      </c>
      <c r="O2343" s="37" t="s">
        <v>8</v>
      </c>
      <c r="P2343" s="47" t="str">
        <f>IF(AND('331-CT'!$F$5=TH!H2343,OR(N2343="331",O2343="331")),"x","")</f>
        <v/>
      </c>
      <c r="Q2343" s="47" t="str">
        <f>IF(AND(B2343='111'!$L$11,OR($N2343=$Q$7,$O2343=$Q$7)),"x","")</f>
        <v/>
      </c>
      <c r="R2343" s="47" t="str">
        <f>IF(AND($N2343=$Q$7,$B2343&lt;'111'!$L$11),"x","")</f>
        <v/>
      </c>
      <c r="S2343" s="47" t="str">
        <f>IF(AND($O2343=$Q$7,$B2343&lt;'111'!$L$11),"x","")</f>
        <v/>
      </c>
    </row>
    <row r="2344" spans="1:19" ht="15.75" customHeight="1">
      <c r="A2344" s="152" t="str">
        <f>IF(B2344&lt;&gt;"",IF(AND(B2344='IN-TC'!$S$4,OR(TH!N2344="1111",TH!O2344="1111")),TH!D2344,""),"")</f>
        <v/>
      </c>
      <c r="B2344" s="34">
        <f t="shared" si="95"/>
        <v>1</v>
      </c>
      <c r="C2344" s="35">
        <f t="shared" si="96"/>
        <v>0</v>
      </c>
      <c r="D2344" s="212"/>
      <c r="E2344" s="35"/>
      <c r="F2344" s="144"/>
      <c r="G2344" s="191"/>
      <c r="H2344" s="198"/>
      <c r="I2344" s="186"/>
      <c r="J2344" s="186"/>
      <c r="K2344" s="185"/>
      <c r="L2344" s="186"/>
      <c r="M2344" s="36">
        <f t="shared" si="94"/>
        <v>0</v>
      </c>
      <c r="N2344" s="37" t="s">
        <v>1443</v>
      </c>
      <c r="O2344" s="37" t="s">
        <v>8</v>
      </c>
      <c r="P2344" s="47" t="str">
        <f>IF(AND('331-CT'!$F$5=TH!H2344,OR(N2344="331",O2344="331")),"x","")</f>
        <v/>
      </c>
      <c r="Q2344" s="47" t="str">
        <f>IF(AND(B2344='111'!$L$11,OR($N2344=$Q$7,$O2344=$Q$7)),"x","")</f>
        <v/>
      </c>
      <c r="R2344" s="47" t="str">
        <f>IF(AND($N2344=$Q$7,$B2344&lt;'111'!$L$11),"x","")</f>
        <v/>
      </c>
      <c r="S2344" s="47" t="str">
        <f>IF(AND($O2344=$Q$7,$B2344&lt;'111'!$L$11),"x","")</f>
        <v/>
      </c>
    </row>
    <row r="2345" spans="1:19" ht="15.75" customHeight="1">
      <c r="A2345" s="152" t="str">
        <f>IF(B2345&lt;&gt;"",IF(AND(B2345='IN-TC'!$S$4,OR(TH!N2345="1111",TH!O2345="1111")),TH!D2345,""),"")</f>
        <v/>
      </c>
      <c r="B2345" s="34">
        <f t="shared" si="95"/>
        <v>1</v>
      </c>
      <c r="C2345" s="35">
        <f t="shared" si="96"/>
        <v>0</v>
      </c>
      <c r="D2345" s="212"/>
      <c r="E2345" s="35"/>
      <c r="F2345" s="144"/>
      <c r="G2345" s="191"/>
      <c r="H2345" s="198"/>
      <c r="I2345" s="186"/>
      <c r="J2345" s="186"/>
      <c r="K2345" s="185"/>
      <c r="L2345" s="186"/>
      <c r="M2345" s="36">
        <f t="shared" si="94"/>
        <v>0</v>
      </c>
      <c r="N2345" s="37" t="s">
        <v>1443</v>
      </c>
      <c r="O2345" s="37" t="s">
        <v>8</v>
      </c>
      <c r="P2345" s="47" t="str">
        <f>IF(AND('331-CT'!$F$5=TH!H2345,OR(N2345="331",O2345="331")),"x","")</f>
        <v/>
      </c>
      <c r="Q2345" s="47" t="str">
        <f>IF(AND(B2345='111'!$L$11,OR($N2345=$Q$7,$O2345=$Q$7)),"x","")</f>
        <v/>
      </c>
      <c r="R2345" s="47" t="str">
        <f>IF(AND($N2345=$Q$7,$B2345&lt;'111'!$L$11),"x","")</f>
        <v/>
      </c>
      <c r="S2345" s="47" t="str">
        <f>IF(AND($O2345=$Q$7,$B2345&lt;'111'!$L$11),"x","")</f>
        <v/>
      </c>
    </row>
    <row r="2346" spans="1:19" ht="15.75" customHeight="1">
      <c r="A2346" s="152" t="str">
        <f>IF(B2346&lt;&gt;"",IF(AND(B2346='IN-TC'!$S$4,OR(TH!N2346="1111",TH!O2346="1111")),TH!D2346,""),"")</f>
        <v/>
      </c>
      <c r="B2346" s="34">
        <f t="shared" si="95"/>
        <v>1</v>
      </c>
      <c r="C2346" s="35">
        <f t="shared" si="96"/>
        <v>0</v>
      </c>
      <c r="D2346" s="212"/>
      <c r="E2346" s="35"/>
      <c r="F2346" s="144"/>
      <c r="G2346" s="191"/>
      <c r="H2346" s="198"/>
      <c r="I2346" s="186"/>
      <c r="J2346" s="186"/>
      <c r="K2346" s="185"/>
      <c r="L2346" s="186"/>
      <c r="M2346" s="36">
        <f t="shared" si="94"/>
        <v>0</v>
      </c>
      <c r="N2346" s="37" t="s">
        <v>1443</v>
      </c>
      <c r="O2346" s="37" t="s">
        <v>8</v>
      </c>
      <c r="P2346" s="47" t="str">
        <f>IF(AND('331-CT'!$F$5=TH!H2346,OR(N2346="331",O2346="331")),"x","")</f>
        <v/>
      </c>
      <c r="Q2346" s="47" t="str">
        <f>IF(AND(B2346='111'!$L$11,OR($N2346=$Q$7,$O2346=$Q$7)),"x","")</f>
        <v/>
      </c>
      <c r="R2346" s="47" t="str">
        <f>IF(AND($N2346=$Q$7,$B2346&lt;'111'!$L$11),"x","")</f>
        <v/>
      </c>
      <c r="S2346" s="47" t="str">
        <f>IF(AND($O2346=$Q$7,$B2346&lt;'111'!$L$11),"x","")</f>
        <v/>
      </c>
    </row>
    <row r="2347" spans="1:19" ht="15.75" customHeight="1">
      <c r="A2347" s="152" t="str">
        <f>IF(B2347&lt;&gt;"",IF(AND(B2347='IN-TC'!$S$4,OR(TH!N2347="1111",TH!O2347="1111")),TH!D2347,""),"")</f>
        <v/>
      </c>
      <c r="B2347" s="34">
        <f t="shared" si="95"/>
        <v>1</v>
      </c>
      <c r="C2347" s="35">
        <f t="shared" si="96"/>
        <v>0</v>
      </c>
      <c r="D2347" s="212"/>
      <c r="E2347" s="35"/>
      <c r="F2347" s="144"/>
      <c r="G2347" s="191"/>
      <c r="H2347" s="198"/>
      <c r="I2347" s="186"/>
      <c r="J2347" s="186"/>
      <c r="K2347" s="185"/>
      <c r="L2347" s="186"/>
      <c r="M2347" s="36">
        <f t="shared" si="94"/>
        <v>0</v>
      </c>
      <c r="N2347" s="37" t="s">
        <v>1443</v>
      </c>
      <c r="O2347" s="37" t="s">
        <v>8</v>
      </c>
      <c r="P2347" s="47" t="str">
        <f>IF(AND('331-CT'!$F$5=TH!H2347,OR(N2347="331",O2347="331")),"x","")</f>
        <v/>
      </c>
      <c r="Q2347" s="47" t="str">
        <f>IF(AND(B2347='111'!$L$11,OR($N2347=$Q$7,$O2347=$Q$7)),"x","")</f>
        <v/>
      </c>
      <c r="R2347" s="47" t="str">
        <f>IF(AND($N2347=$Q$7,$B2347&lt;'111'!$L$11),"x","")</f>
        <v/>
      </c>
      <c r="S2347" s="47" t="str">
        <f>IF(AND($O2347=$Q$7,$B2347&lt;'111'!$L$11),"x","")</f>
        <v/>
      </c>
    </row>
    <row r="2348" spans="1:19" ht="15.75" customHeight="1">
      <c r="A2348" s="152" t="str">
        <f>IF(B2348&lt;&gt;"",IF(AND(B2348='IN-TC'!$S$4,OR(TH!N2348="1111",TH!O2348="1111")),TH!D2348,""),"")</f>
        <v/>
      </c>
      <c r="B2348" s="34">
        <f t="shared" si="95"/>
        <v>1</v>
      </c>
      <c r="C2348" s="35">
        <f t="shared" si="96"/>
        <v>0</v>
      </c>
      <c r="D2348" s="212"/>
      <c r="E2348" s="35"/>
      <c r="F2348" s="144"/>
      <c r="G2348" s="191"/>
      <c r="H2348" s="198"/>
      <c r="I2348" s="186"/>
      <c r="J2348" s="186"/>
      <c r="K2348" s="185"/>
      <c r="L2348" s="186"/>
      <c r="M2348" s="36">
        <f t="shared" si="94"/>
        <v>0</v>
      </c>
      <c r="N2348" s="37" t="s">
        <v>1443</v>
      </c>
      <c r="O2348" s="37" t="s">
        <v>8</v>
      </c>
      <c r="P2348" s="47" t="str">
        <f>IF(AND('331-CT'!$F$5=TH!H2348,OR(N2348="331",O2348="331")),"x","")</f>
        <v/>
      </c>
      <c r="Q2348" s="47" t="str">
        <f>IF(AND(B2348='111'!$L$11,OR($N2348=$Q$7,$O2348=$Q$7)),"x","")</f>
        <v/>
      </c>
      <c r="R2348" s="47" t="str">
        <f>IF(AND($N2348=$Q$7,$B2348&lt;'111'!$L$11),"x","")</f>
        <v/>
      </c>
      <c r="S2348" s="47" t="str">
        <f>IF(AND($O2348=$Q$7,$B2348&lt;'111'!$L$11),"x","")</f>
        <v/>
      </c>
    </row>
    <row r="2349" spans="1:19" ht="15.75" customHeight="1">
      <c r="A2349" s="152" t="str">
        <f>IF(B2349&lt;&gt;"",IF(AND(B2349='IN-TC'!$S$4,OR(TH!N2349="1111",TH!O2349="1111")),TH!D2349,""),"")</f>
        <v/>
      </c>
      <c r="B2349" s="34">
        <f t="shared" si="95"/>
        <v>1</v>
      </c>
      <c r="C2349" s="35">
        <f t="shared" si="96"/>
        <v>0</v>
      </c>
      <c r="D2349" s="212"/>
      <c r="E2349" s="35"/>
      <c r="F2349" s="144"/>
      <c r="G2349" s="191"/>
      <c r="H2349" s="198"/>
      <c r="I2349" s="186"/>
      <c r="J2349" s="186"/>
      <c r="K2349" s="185"/>
      <c r="L2349" s="186"/>
      <c r="M2349" s="36">
        <f t="shared" si="94"/>
        <v>0</v>
      </c>
      <c r="N2349" s="37" t="s">
        <v>1443</v>
      </c>
      <c r="O2349" s="37" t="s">
        <v>8</v>
      </c>
      <c r="P2349" s="47" t="str">
        <f>IF(AND('331-CT'!$F$5=TH!H2349,OR(N2349="331",O2349="331")),"x","")</f>
        <v/>
      </c>
      <c r="Q2349" s="47" t="str">
        <f>IF(AND(B2349='111'!$L$11,OR($N2349=$Q$7,$O2349=$Q$7)),"x","")</f>
        <v/>
      </c>
      <c r="R2349" s="47" t="str">
        <f>IF(AND($N2349=$Q$7,$B2349&lt;'111'!$L$11),"x","")</f>
        <v/>
      </c>
      <c r="S2349" s="47" t="str">
        <f>IF(AND($O2349=$Q$7,$B2349&lt;'111'!$L$11),"x","")</f>
        <v/>
      </c>
    </row>
    <row r="2350" spans="1:19" ht="15.75" customHeight="1">
      <c r="A2350" s="152" t="str">
        <f>IF(B2350&lt;&gt;"",IF(AND(B2350='IN-TC'!$S$4,OR(TH!N2350="1111",TH!O2350="1111")),TH!D2350,""),"")</f>
        <v/>
      </c>
      <c r="B2350" s="34">
        <f t="shared" si="95"/>
        <v>1</v>
      </c>
      <c r="C2350" s="35">
        <f t="shared" si="96"/>
        <v>0</v>
      </c>
      <c r="D2350" s="212"/>
      <c r="E2350" s="35"/>
      <c r="F2350" s="144"/>
      <c r="G2350" s="191"/>
      <c r="H2350" s="198"/>
      <c r="I2350" s="186"/>
      <c r="J2350" s="186"/>
      <c r="K2350" s="185"/>
      <c r="L2350" s="186"/>
      <c r="M2350" s="36">
        <f t="shared" si="94"/>
        <v>0</v>
      </c>
      <c r="N2350" s="37" t="s">
        <v>1443</v>
      </c>
      <c r="O2350" s="37" t="s">
        <v>8</v>
      </c>
      <c r="P2350" s="47" t="str">
        <f>IF(AND('331-CT'!$F$5=TH!H2350,OR(N2350="331",O2350="331")),"x","")</f>
        <v/>
      </c>
      <c r="Q2350" s="47" t="str">
        <f>IF(AND(B2350='111'!$L$11,OR($N2350=$Q$7,$O2350=$Q$7)),"x","")</f>
        <v/>
      </c>
      <c r="R2350" s="47" t="str">
        <f>IF(AND($N2350=$Q$7,$B2350&lt;'111'!$L$11),"x","")</f>
        <v/>
      </c>
      <c r="S2350" s="47" t="str">
        <f>IF(AND($O2350=$Q$7,$B2350&lt;'111'!$L$11),"x","")</f>
        <v/>
      </c>
    </row>
    <row r="2351" spans="1:19" ht="15.75" customHeight="1">
      <c r="A2351" s="152" t="str">
        <f>IF(B2351&lt;&gt;"",IF(AND(B2351='IN-TC'!$S$4,OR(TH!N2351="1111",TH!O2351="1111")),TH!D2351,""),"")</f>
        <v/>
      </c>
      <c r="B2351" s="34">
        <f t="shared" si="95"/>
        <v>1</v>
      </c>
      <c r="C2351" s="35">
        <f t="shared" si="96"/>
        <v>0</v>
      </c>
      <c r="D2351" s="212"/>
      <c r="E2351" s="35"/>
      <c r="F2351" s="144"/>
      <c r="G2351" s="191"/>
      <c r="H2351" s="198"/>
      <c r="I2351" s="186"/>
      <c r="J2351" s="186"/>
      <c r="K2351" s="185"/>
      <c r="L2351" s="186"/>
      <c r="M2351" s="36">
        <f t="shared" si="94"/>
        <v>0</v>
      </c>
      <c r="N2351" s="37" t="s">
        <v>1443</v>
      </c>
      <c r="O2351" s="37" t="s">
        <v>8</v>
      </c>
      <c r="P2351" s="47" t="str">
        <f>IF(AND('331-CT'!$F$5=TH!H2351,OR(N2351="331",O2351="331")),"x","")</f>
        <v/>
      </c>
      <c r="Q2351" s="47" t="str">
        <f>IF(AND(B2351='111'!$L$11,OR($N2351=$Q$7,$O2351=$Q$7)),"x","")</f>
        <v/>
      </c>
      <c r="R2351" s="47" t="str">
        <f>IF(AND($N2351=$Q$7,$B2351&lt;'111'!$L$11),"x","")</f>
        <v/>
      </c>
      <c r="S2351" s="47" t="str">
        <f>IF(AND($O2351=$Q$7,$B2351&lt;'111'!$L$11),"x","")</f>
        <v/>
      </c>
    </row>
    <row r="2352" spans="1:19" ht="15.75" customHeight="1">
      <c r="A2352" s="152" t="str">
        <f>IF(B2352&lt;&gt;"",IF(AND(B2352='IN-TC'!$S$4,OR(TH!N2352="1111",TH!O2352="1111")),TH!D2352,""),"")</f>
        <v/>
      </c>
      <c r="B2352" s="34">
        <f t="shared" si="95"/>
        <v>1</v>
      </c>
      <c r="C2352" s="35">
        <f t="shared" si="96"/>
        <v>0</v>
      </c>
      <c r="D2352" s="212"/>
      <c r="E2352" s="35"/>
      <c r="F2352" s="144"/>
      <c r="G2352" s="191"/>
      <c r="H2352" s="198"/>
      <c r="I2352" s="186"/>
      <c r="J2352" s="186"/>
      <c r="K2352" s="185"/>
      <c r="L2352" s="186"/>
      <c r="M2352" s="36">
        <f t="shared" si="94"/>
        <v>0</v>
      </c>
      <c r="N2352" s="37" t="s">
        <v>1443</v>
      </c>
      <c r="O2352" s="37" t="s">
        <v>8</v>
      </c>
      <c r="P2352" s="47" t="str">
        <f>IF(AND('331-CT'!$F$5=TH!H2352,OR(N2352="331",O2352="331")),"x","")</f>
        <v/>
      </c>
      <c r="Q2352" s="47" t="str">
        <f>IF(AND(B2352='111'!$L$11,OR($N2352=$Q$7,$O2352=$Q$7)),"x","")</f>
        <v/>
      </c>
      <c r="R2352" s="47" t="str">
        <f>IF(AND($N2352=$Q$7,$B2352&lt;'111'!$L$11),"x","")</f>
        <v/>
      </c>
      <c r="S2352" s="47" t="str">
        <f>IF(AND($O2352=$Q$7,$B2352&lt;'111'!$L$11),"x","")</f>
        <v/>
      </c>
    </row>
    <row r="2353" spans="1:19" ht="15.75" customHeight="1">
      <c r="A2353" s="152" t="str">
        <f>IF(B2353&lt;&gt;"",IF(AND(B2353='IN-TC'!$S$4,OR(TH!N2353="1111",TH!O2353="1111")),TH!D2353,""),"")</f>
        <v/>
      </c>
      <c r="B2353" s="34">
        <f t="shared" si="95"/>
        <v>1</v>
      </c>
      <c r="C2353" s="35">
        <f t="shared" si="96"/>
        <v>0</v>
      </c>
      <c r="D2353" s="212"/>
      <c r="E2353" s="35"/>
      <c r="F2353" s="144"/>
      <c r="G2353" s="191"/>
      <c r="H2353" s="198"/>
      <c r="I2353" s="186"/>
      <c r="J2353" s="186"/>
      <c r="K2353" s="185"/>
      <c r="L2353" s="186"/>
      <c r="M2353" s="36">
        <f t="shared" si="94"/>
        <v>0</v>
      </c>
      <c r="N2353" s="37" t="s">
        <v>1443</v>
      </c>
      <c r="O2353" s="37" t="s">
        <v>8</v>
      </c>
      <c r="P2353" s="47" t="str">
        <f>IF(AND('331-CT'!$F$5=TH!H2353,OR(N2353="331",O2353="331")),"x","")</f>
        <v/>
      </c>
      <c r="Q2353" s="47" t="str">
        <f>IF(AND(B2353='111'!$L$11,OR($N2353=$Q$7,$O2353=$Q$7)),"x","")</f>
        <v/>
      </c>
      <c r="R2353" s="47" t="str">
        <f>IF(AND($N2353=$Q$7,$B2353&lt;'111'!$L$11),"x","")</f>
        <v/>
      </c>
      <c r="S2353" s="47" t="str">
        <f>IF(AND($O2353=$Q$7,$B2353&lt;'111'!$L$11),"x","")</f>
        <v/>
      </c>
    </row>
    <row r="2354" spans="1:19" ht="15.75" customHeight="1">
      <c r="A2354" s="152" t="str">
        <f>IF(B2354&lt;&gt;"",IF(AND(B2354='IN-TC'!$S$4,OR(TH!N2354="1111",TH!O2354="1111")),TH!D2354,""),"")</f>
        <v/>
      </c>
      <c r="B2354" s="34">
        <f t="shared" si="95"/>
        <v>1</v>
      </c>
      <c r="C2354" s="35">
        <f t="shared" si="96"/>
        <v>0</v>
      </c>
      <c r="D2354" s="212"/>
      <c r="E2354" s="35"/>
      <c r="F2354" s="144"/>
      <c r="G2354" s="191"/>
      <c r="H2354" s="198"/>
      <c r="I2354" s="186"/>
      <c r="J2354" s="186"/>
      <c r="K2354" s="185"/>
      <c r="L2354" s="186"/>
      <c r="M2354" s="36">
        <f t="shared" si="94"/>
        <v>0</v>
      </c>
      <c r="N2354" s="37" t="s">
        <v>1443</v>
      </c>
      <c r="O2354" s="37" t="s">
        <v>8</v>
      </c>
      <c r="P2354" s="47" t="str">
        <f>IF(AND('331-CT'!$F$5=TH!H2354,OR(N2354="331",O2354="331")),"x","")</f>
        <v/>
      </c>
      <c r="Q2354" s="47" t="str">
        <f>IF(AND(B2354='111'!$L$11,OR($N2354=$Q$7,$O2354=$Q$7)),"x","")</f>
        <v/>
      </c>
      <c r="R2354" s="47" t="str">
        <f>IF(AND($N2354=$Q$7,$B2354&lt;'111'!$L$11),"x","")</f>
        <v/>
      </c>
      <c r="S2354" s="47" t="str">
        <f>IF(AND($O2354=$Q$7,$B2354&lt;'111'!$L$11),"x","")</f>
        <v/>
      </c>
    </row>
    <row r="2355" spans="1:19" ht="15.75" customHeight="1">
      <c r="A2355" s="152" t="str">
        <f>IF(B2355&lt;&gt;"",IF(AND(B2355='IN-TC'!$S$4,OR(TH!N2355="1111",TH!O2355="1111")),TH!D2355,""),"")</f>
        <v/>
      </c>
      <c r="B2355" s="34">
        <f t="shared" si="95"/>
        <v>1</v>
      </c>
      <c r="C2355" s="35">
        <f t="shared" si="96"/>
        <v>0</v>
      </c>
      <c r="D2355" s="212"/>
      <c r="E2355" s="35"/>
      <c r="F2355" s="144"/>
      <c r="G2355" s="191"/>
      <c r="H2355" s="198"/>
      <c r="I2355" s="186"/>
      <c r="J2355" s="186"/>
      <c r="K2355" s="185"/>
      <c r="L2355" s="186"/>
      <c r="M2355" s="36">
        <f t="shared" si="94"/>
        <v>0</v>
      </c>
      <c r="N2355" s="37" t="s">
        <v>1443</v>
      </c>
      <c r="O2355" s="37" t="s">
        <v>8</v>
      </c>
      <c r="P2355" s="47" t="str">
        <f>IF(AND('331-CT'!$F$5=TH!H2355,OR(N2355="331",O2355="331")),"x","")</f>
        <v/>
      </c>
      <c r="Q2355" s="47" t="str">
        <f>IF(AND(B2355='111'!$L$11,OR($N2355=$Q$7,$O2355=$Q$7)),"x","")</f>
        <v/>
      </c>
      <c r="R2355" s="47" t="str">
        <f>IF(AND($N2355=$Q$7,$B2355&lt;'111'!$L$11),"x","")</f>
        <v/>
      </c>
      <c r="S2355" s="47" t="str">
        <f>IF(AND($O2355=$Q$7,$B2355&lt;'111'!$L$11),"x","")</f>
        <v/>
      </c>
    </row>
    <row r="2356" spans="1:19" ht="15.75" customHeight="1">
      <c r="A2356" s="152" t="str">
        <f>IF(B2356&lt;&gt;"",IF(AND(B2356='IN-TC'!$S$4,OR(TH!N2356="1111",TH!O2356="1111")),TH!D2356,""),"")</f>
        <v/>
      </c>
      <c r="B2356" s="34">
        <f t="shared" si="95"/>
        <v>1</v>
      </c>
      <c r="C2356" s="35">
        <f t="shared" si="96"/>
        <v>0</v>
      </c>
      <c r="D2356" s="212"/>
      <c r="E2356" s="35"/>
      <c r="F2356" s="144"/>
      <c r="G2356" s="191"/>
      <c r="H2356" s="198"/>
      <c r="I2356" s="186"/>
      <c r="J2356" s="186"/>
      <c r="K2356" s="185"/>
      <c r="L2356" s="186"/>
      <c r="M2356" s="36">
        <f t="shared" si="94"/>
        <v>0</v>
      </c>
      <c r="N2356" s="37" t="s">
        <v>1443</v>
      </c>
      <c r="O2356" s="37" t="s">
        <v>8</v>
      </c>
      <c r="P2356" s="47" t="str">
        <f>IF(AND('331-CT'!$F$5=TH!H2356,OR(N2356="331",O2356="331")),"x","")</f>
        <v/>
      </c>
      <c r="Q2356" s="47" t="str">
        <f>IF(AND(B2356='111'!$L$11,OR($N2356=$Q$7,$O2356=$Q$7)),"x","")</f>
        <v/>
      </c>
      <c r="R2356" s="47" t="str">
        <f>IF(AND($N2356=$Q$7,$B2356&lt;'111'!$L$11),"x","")</f>
        <v/>
      </c>
      <c r="S2356" s="47" t="str">
        <f>IF(AND($O2356=$Q$7,$B2356&lt;'111'!$L$11),"x","")</f>
        <v/>
      </c>
    </row>
    <row r="2357" spans="1:19" ht="15.75" customHeight="1">
      <c r="A2357" s="152" t="str">
        <f>IF(B2357&lt;&gt;"",IF(AND(B2357='IN-TC'!$S$4,OR(TH!N2357="1111",TH!O2357="1111")),TH!D2357,""),"")</f>
        <v/>
      </c>
      <c r="B2357" s="34">
        <f t="shared" si="95"/>
        <v>1</v>
      </c>
      <c r="C2357" s="35">
        <f t="shared" si="96"/>
        <v>0</v>
      </c>
      <c r="D2357" s="212"/>
      <c r="E2357" s="35"/>
      <c r="F2357" s="144"/>
      <c r="G2357" s="191"/>
      <c r="H2357" s="198"/>
      <c r="I2357" s="186"/>
      <c r="J2357" s="186"/>
      <c r="K2357" s="185"/>
      <c r="L2357" s="186"/>
      <c r="M2357" s="36">
        <f t="shared" si="94"/>
        <v>0</v>
      </c>
      <c r="N2357" s="37" t="s">
        <v>1443</v>
      </c>
      <c r="O2357" s="37" t="s">
        <v>8</v>
      </c>
      <c r="P2357" s="47" t="str">
        <f>IF(AND('331-CT'!$F$5=TH!H2357,OR(N2357="331",O2357="331")),"x","")</f>
        <v/>
      </c>
      <c r="Q2357" s="47" t="str">
        <f>IF(AND(B2357='111'!$L$11,OR($N2357=$Q$7,$O2357=$Q$7)),"x","")</f>
        <v/>
      </c>
      <c r="R2357" s="47" t="str">
        <f>IF(AND($N2357=$Q$7,$B2357&lt;'111'!$L$11),"x","")</f>
        <v/>
      </c>
      <c r="S2357" s="47" t="str">
        <f>IF(AND($O2357=$Q$7,$B2357&lt;'111'!$L$11),"x","")</f>
        <v/>
      </c>
    </row>
    <row r="2358" spans="1:19" ht="15.75" customHeight="1">
      <c r="A2358" s="152" t="str">
        <f>IF(B2358&lt;&gt;"",IF(AND(B2358='IN-TC'!$S$4,OR(TH!N2358="1111",TH!O2358="1111")),TH!D2358,""),"")</f>
        <v/>
      </c>
      <c r="B2358" s="34">
        <f t="shared" si="95"/>
        <v>1</v>
      </c>
      <c r="C2358" s="35">
        <f t="shared" si="96"/>
        <v>0</v>
      </c>
      <c r="D2358" s="212"/>
      <c r="E2358" s="35"/>
      <c r="F2358" s="144"/>
      <c r="G2358" s="191"/>
      <c r="H2358" s="198"/>
      <c r="I2358" s="186"/>
      <c r="J2358" s="186"/>
      <c r="K2358" s="185"/>
      <c r="L2358" s="186"/>
      <c r="M2358" s="36">
        <f t="shared" si="94"/>
        <v>0</v>
      </c>
      <c r="N2358" s="37" t="s">
        <v>1443</v>
      </c>
      <c r="O2358" s="37" t="s">
        <v>8</v>
      </c>
      <c r="P2358" s="47" t="str">
        <f>IF(AND('331-CT'!$F$5=TH!H2358,OR(N2358="331",O2358="331")),"x","")</f>
        <v/>
      </c>
      <c r="Q2358" s="47" t="str">
        <f>IF(AND(B2358='111'!$L$11,OR($N2358=$Q$7,$O2358=$Q$7)),"x","")</f>
        <v/>
      </c>
      <c r="R2358" s="47" t="str">
        <f>IF(AND($N2358=$Q$7,$B2358&lt;'111'!$L$11),"x","")</f>
        <v/>
      </c>
      <c r="S2358" s="47" t="str">
        <f>IF(AND($O2358=$Q$7,$B2358&lt;'111'!$L$11),"x","")</f>
        <v/>
      </c>
    </row>
    <row r="2359" spans="1:19" ht="15.75" customHeight="1">
      <c r="A2359" s="152" t="str">
        <f>IF(B2359&lt;&gt;"",IF(AND(B2359='IN-TC'!$S$4,OR(TH!N2359="1111",TH!O2359="1111")),TH!D2359,""),"")</f>
        <v/>
      </c>
      <c r="B2359" s="34">
        <f t="shared" si="95"/>
        <v>1</v>
      </c>
      <c r="C2359" s="35">
        <f t="shared" si="96"/>
        <v>0</v>
      </c>
      <c r="D2359" s="212"/>
      <c r="E2359" s="35"/>
      <c r="F2359" s="144"/>
      <c r="G2359" s="191"/>
      <c r="H2359" s="198"/>
      <c r="I2359" s="186"/>
      <c r="J2359" s="186"/>
      <c r="K2359" s="185"/>
      <c r="L2359" s="186"/>
      <c r="M2359" s="36">
        <f t="shared" si="94"/>
        <v>0</v>
      </c>
      <c r="N2359" s="37" t="s">
        <v>1443</v>
      </c>
      <c r="O2359" s="37" t="s">
        <v>8</v>
      </c>
      <c r="P2359" s="47" t="str">
        <f>IF(AND('331-CT'!$F$5=TH!H2359,OR(N2359="331",O2359="331")),"x","")</f>
        <v/>
      </c>
      <c r="Q2359" s="47" t="str">
        <f>IF(AND(B2359='111'!$L$11,OR($N2359=$Q$7,$O2359=$Q$7)),"x","")</f>
        <v/>
      </c>
      <c r="R2359" s="47" t="str">
        <f>IF(AND($N2359=$Q$7,$B2359&lt;'111'!$L$11),"x","")</f>
        <v/>
      </c>
      <c r="S2359" s="47" t="str">
        <f>IF(AND($O2359=$Q$7,$B2359&lt;'111'!$L$11),"x","")</f>
        <v/>
      </c>
    </row>
    <row r="2360" spans="1:19" ht="15.75" customHeight="1">
      <c r="A2360" s="152" t="str">
        <f>IF(B2360&lt;&gt;"",IF(AND(B2360='IN-TC'!$S$4,OR(TH!N2360="1111",TH!O2360="1111")),TH!D2360,""),"")</f>
        <v/>
      </c>
      <c r="B2360" s="34">
        <f t="shared" si="95"/>
        <v>1</v>
      </c>
      <c r="C2360" s="35">
        <f t="shared" si="96"/>
        <v>0</v>
      </c>
      <c r="D2360" s="212"/>
      <c r="E2360" s="35"/>
      <c r="F2360" s="144"/>
      <c r="G2360" s="191"/>
      <c r="H2360" s="198"/>
      <c r="I2360" s="186"/>
      <c r="J2360" s="186"/>
      <c r="K2360" s="185"/>
      <c r="L2360" s="186"/>
      <c r="M2360" s="36">
        <f t="shared" si="94"/>
        <v>0</v>
      </c>
      <c r="N2360" s="37" t="s">
        <v>1443</v>
      </c>
      <c r="O2360" s="37" t="s">
        <v>8</v>
      </c>
      <c r="P2360" s="47" t="str">
        <f>IF(AND('331-CT'!$F$5=TH!H2360,OR(N2360="331",O2360="331")),"x","")</f>
        <v/>
      </c>
      <c r="Q2360" s="47" t="str">
        <f>IF(AND(B2360='111'!$L$11,OR($N2360=$Q$7,$O2360=$Q$7)),"x","")</f>
        <v/>
      </c>
      <c r="R2360" s="47" t="str">
        <f>IF(AND($N2360=$Q$7,$B2360&lt;'111'!$L$11),"x","")</f>
        <v/>
      </c>
      <c r="S2360" s="47" t="str">
        <f>IF(AND($O2360=$Q$7,$B2360&lt;'111'!$L$11),"x","")</f>
        <v/>
      </c>
    </row>
    <row r="2361" spans="1:19" ht="15.75" customHeight="1">
      <c r="A2361" s="152" t="str">
        <f>IF(B2361&lt;&gt;"",IF(AND(B2361='IN-TC'!$S$4,OR(TH!N2361="1111",TH!O2361="1111")),TH!D2361,""),"")</f>
        <v/>
      </c>
      <c r="B2361" s="34">
        <f t="shared" si="95"/>
        <v>1</v>
      </c>
      <c r="C2361" s="35">
        <f t="shared" si="96"/>
        <v>0</v>
      </c>
      <c r="D2361" s="212"/>
      <c r="E2361" s="35"/>
      <c r="F2361" s="144"/>
      <c r="G2361" s="191"/>
      <c r="H2361" s="198"/>
      <c r="I2361" s="186"/>
      <c r="J2361" s="186"/>
      <c r="K2361" s="185"/>
      <c r="L2361" s="186"/>
      <c r="M2361" s="36">
        <f t="shared" si="94"/>
        <v>0</v>
      </c>
      <c r="N2361" s="37" t="s">
        <v>1443</v>
      </c>
      <c r="O2361" s="37" t="s">
        <v>8</v>
      </c>
      <c r="P2361" s="47" t="str">
        <f>IF(AND('331-CT'!$F$5=TH!H2361,OR(N2361="331",O2361="331")),"x","")</f>
        <v/>
      </c>
      <c r="Q2361" s="47" t="str">
        <f>IF(AND(B2361='111'!$L$11,OR($N2361=$Q$7,$O2361=$Q$7)),"x","")</f>
        <v/>
      </c>
      <c r="R2361" s="47" t="str">
        <f>IF(AND($N2361=$Q$7,$B2361&lt;'111'!$L$11),"x","")</f>
        <v/>
      </c>
      <c r="S2361" s="47" t="str">
        <f>IF(AND($O2361=$Q$7,$B2361&lt;'111'!$L$11),"x","")</f>
        <v/>
      </c>
    </row>
    <row r="2362" spans="1:19" ht="15.75" customHeight="1">
      <c r="A2362" s="152" t="str">
        <f>IF(B2362&lt;&gt;"",IF(AND(B2362='IN-TC'!$S$4,OR(TH!N2362="1111",TH!O2362="1111")),TH!D2362,""),"")</f>
        <v/>
      </c>
      <c r="B2362" s="34">
        <f t="shared" si="95"/>
        <v>1</v>
      </c>
      <c r="C2362" s="35">
        <f t="shared" si="96"/>
        <v>0</v>
      </c>
      <c r="D2362" s="212"/>
      <c r="E2362" s="35"/>
      <c r="F2362" s="144"/>
      <c r="G2362" s="191"/>
      <c r="H2362" s="198"/>
      <c r="I2362" s="186"/>
      <c r="J2362" s="186"/>
      <c r="K2362" s="185"/>
      <c r="L2362" s="186"/>
      <c r="M2362" s="36">
        <f t="shared" si="94"/>
        <v>0</v>
      </c>
      <c r="N2362" s="37" t="s">
        <v>1443</v>
      </c>
      <c r="O2362" s="37" t="s">
        <v>8</v>
      </c>
      <c r="P2362" s="47" t="str">
        <f>IF(AND('331-CT'!$F$5=TH!H2362,OR(N2362="331",O2362="331")),"x","")</f>
        <v/>
      </c>
      <c r="Q2362" s="47" t="str">
        <f>IF(AND(B2362='111'!$L$11,OR($N2362=$Q$7,$O2362=$Q$7)),"x","")</f>
        <v/>
      </c>
      <c r="R2362" s="47" t="str">
        <f>IF(AND($N2362=$Q$7,$B2362&lt;'111'!$L$11),"x","")</f>
        <v/>
      </c>
      <c r="S2362" s="47" t="str">
        <f>IF(AND($O2362=$Q$7,$B2362&lt;'111'!$L$11),"x","")</f>
        <v/>
      </c>
    </row>
    <row r="2363" spans="1:19" ht="15.75" customHeight="1">
      <c r="A2363" s="152" t="str">
        <f>IF(B2363&lt;&gt;"",IF(AND(B2363='IN-TC'!$S$4,OR(TH!N2363="1111",TH!O2363="1111")),TH!D2363,""),"")</f>
        <v/>
      </c>
      <c r="B2363" s="34">
        <f t="shared" si="95"/>
        <v>1</v>
      </c>
      <c r="C2363" s="35">
        <f t="shared" si="96"/>
        <v>0</v>
      </c>
      <c r="D2363" s="212"/>
      <c r="E2363" s="35"/>
      <c r="F2363" s="144"/>
      <c r="G2363" s="191"/>
      <c r="H2363" s="198"/>
      <c r="I2363" s="186"/>
      <c r="J2363" s="186"/>
      <c r="K2363" s="185"/>
      <c r="L2363" s="186"/>
      <c r="M2363" s="36">
        <f t="shared" si="94"/>
        <v>0</v>
      </c>
      <c r="N2363" s="37" t="s">
        <v>1443</v>
      </c>
      <c r="O2363" s="37" t="s">
        <v>8</v>
      </c>
      <c r="P2363" s="47" t="str">
        <f>IF(AND('331-CT'!$F$5=TH!H2363,OR(N2363="331",O2363="331")),"x","")</f>
        <v/>
      </c>
      <c r="Q2363" s="47" t="str">
        <f>IF(AND(B2363='111'!$L$11,OR($N2363=$Q$7,$O2363=$Q$7)),"x","")</f>
        <v/>
      </c>
      <c r="R2363" s="47" t="str">
        <f>IF(AND($N2363=$Q$7,$B2363&lt;'111'!$L$11),"x","")</f>
        <v/>
      </c>
      <c r="S2363" s="47" t="str">
        <f>IF(AND($O2363=$Q$7,$B2363&lt;'111'!$L$11),"x","")</f>
        <v/>
      </c>
    </row>
    <row r="2364" spans="1:19" ht="15.75" customHeight="1">
      <c r="A2364" s="152" t="str">
        <f>IF(B2364&lt;&gt;"",IF(AND(B2364='IN-TC'!$S$4,OR(TH!N2364="1111",TH!O2364="1111")),TH!D2364,""),"")</f>
        <v/>
      </c>
      <c r="B2364" s="34">
        <f t="shared" si="95"/>
        <v>1</v>
      </c>
      <c r="C2364" s="35">
        <f t="shared" si="96"/>
        <v>0</v>
      </c>
      <c r="D2364" s="212"/>
      <c r="E2364" s="35"/>
      <c r="F2364" s="144"/>
      <c r="G2364" s="191"/>
      <c r="H2364" s="198"/>
      <c r="I2364" s="186"/>
      <c r="J2364" s="186"/>
      <c r="K2364" s="185"/>
      <c r="L2364" s="186"/>
      <c r="M2364" s="36">
        <f t="shared" si="94"/>
        <v>0</v>
      </c>
      <c r="N2364" s="37" t="s">
        <v>1443</v>
      </c>
      <c r="O2364" s="37" t="s">
        <v>8</v>
      </c>
      <c r="P2364" s="47" t="str">
        <f>IF(AND('331-CT'!$F$5=TH!H2364,OR(N2364="331",O2364="331")),"x","")</f>
        <v/>
      </c>
      <c r="Q2364" s="47" t="str">
        <f>IF(AND(B2364='111'!$L$11,OR($N2364=$Q$7,$O2364=$Q$7)),"x","")</f>
        <v/>
      </c>
      <c r="R2364" s="47" t="str">
        <f>IF(AND($N2364=$Q$7,$B2364&lt;'111'!$L$11),"x","")</f>
        <v/>
      </c>
      <c r="S2364" s="47" t="str">
        <f>IF(AND($O2364=$Q$7,$B2364&lt;'111'!$L$11),"x","")</f>
        <v/>
      </c>
    </row>
    <row r="2365" spans="1:19" ht="15.75" customHeight="1">
      <c r="A2365" s="152" t="str">
        <f>IF(B2365&lt;&gt;"",IF(AND(B2365='IN-TC'!$S$4,OR(TH!N2365="1111",TH!O2365="1111")),TH!D2365,""),"")</f>
        <v/>
      </c>
      <c r="B2365" s="34">
        <f t="shared" si="95"/>
        <v>1</v>
      </c>
      <c r="C2365" s="35">
        <f t="shared" si="96"/>
        <v>0</v>
      </c>
      <c r="D2365" s="212"/>
      <c r="E2365" s="35"/>
      <c r="F2365" s="144"/>
      <c r="G2365" s="191"/>
      <c r="H2365" s="198"/>
      <c r="I2365" s="186"/>
      <c r="J2365" s="186"/>
      <c r="K2365" s="185"/>
      <c r="L2365" s="186"/>
      <c r="M2365" s="36">
        <f t="shared" si="94"/>
        <v>0</v>
      </c>
      <c r="N2365" s="37" t="s">
        <v>1443</v>
      </c>
      <c r="O2365" s="37" t="s">
        <v>8</v>
      </c>
      <c r="P2365" s="47" t="str">
        <f>IF(AND('331-CT'!$F$5=TH!H2365,OR(N2365="331",O2365="331")),"x","")</f>
        <v/>
      </c>
      <c r="Q2365" s="47" t="str">
        <f>IF(AND(B2365='111'!$L$11,OR($N2365=$Q$7,$O2365=$Q$7)),"x","")</f>
        <v/>
      </c>
      <c r="R2365" s="47" t="str">
        <f>IF(AND($N2365=$Q$7,$B2365&lt;'111'!$L$11),"x","")</f>
        <v/>
      </c>
      <c r="S2365" s="47" t="str">
        <f>IF(AND($O2365=$Q$7,$B2365&lt;'111'!$L$11),"x","")</f>
        <v/>
      </c>
    </row>
    <row r="2366" spans="1:19" ht="15.75" customHeight="1">
      <c r="A2366" s="152" t="str">
        <f>IF(B2366&lt;&gt;"",IF(AND(B2366='IN-TC'!$S$4,OR(TH!N2366="1111",TH!O2366="1111")),TH!D2366,""),"")</f>
        <v/>
      </c>
      <c r="B2366" s="34">
        <f t="shared" si="95"/>
        <v>1</v>
      </c>
      <c r="C2366" s="35">
        <f t="shared" si="96"/>
        <v>0</v>
      </c>
      <c r="D2366" s="212"/>
      <c r="E2366" s="35"/>
      <c r="F2366" s="144"/>
      <c r="G2366" s="191"/>
      <c r="H2366" s="198"/>
      <c r="I2366" s="186"/>
      <c r="J2366" s="186"/>
      <c r="K2366" s="185"/>
      <c r="L2366" s="186"/>
      <c r="M2366" s="36">
        <f t="shared" si="94"/>
        <v>0</v>
      </c>
      <c r="N2366" s="37" t="s">
        <v>1443</v>
      </c>
      <c r="O2366" s="37" t="s">
        <v>8</v>
      </c>
      <c r="P2366" s="47" t="str">
        <f>IF(AND('331-CT'!$F$5=TH!H2366,OR(N2366="331",O2366="331")),"x","")</f>
        <v/>
      </c>
      <c r="Q2366" s="47" t="str">
        <f>IF(AND(B2366='111'!$L$11,OR($N2366=$Q$7,$O2366=$Q$7)),"x","")</f>
        <v/>
      </c>
      <c r="R2366" s="47" t="str">
        <f>IF(AND($N2366=$Q$7,$B2366&lt;'111'!$L$11),"x","")</f>
        <v/>
      </c>
      <c r="S2366" s="47" t="str">
        <f>IF(AND($O2366=$Q$7,$B2366&lt;'111'!$L$11),"x","")</f>
        <v/>
      </c>
    </row>
    <row r="2367" spans="1:19" ht="15.75" customHeight="1">
      <c r="A2367" s="152" t="str">
        <f>IF(B2367&lt;&gt;"",IF(AND(B2367='IN-TC'!$S$4,OR(TH!N2367="1111",TH!O2367="1111")),TH!D2367,""),"")</f>
        <v/>
      </c>
      <c r="B2367" s="34">
        <f t="shared" si="95"/>
        <v>1</v>
      </c>
      <c r="C2367" s="35">
        <f t="shared" si="96"/>
        <v>0</v>
      </c>
      <c r="D2367" s="212"/>
      <c r="E2367" s="35"/>
      <c r="F2367" s="144"/>
      <c r="G2367" s="191"/>
      <c r="H2367" s="198"/>
      <c r="I2367" s="186"/>
      <c r="J2367" s="186"/>
      <c r="K2367" s="185"/>
      <c r="L2367" s="186"/>
      <c r="M2367" s="36">
        <f t="shared" si="94"/>
        <v>0</v>
      </c>
      <c r="N2367" s="37" t="s">
        <v>1443</v>
      </c>
      <c r="O2367" s="37" t="s">
        <v>8</v>
      </c>
      <c r="P2367" s="47" t="str">
        <f>IF(AND('331-CT'!$F$5=TH!H2367,OR(N2367="331",O2367="331")),"x","")</f>
        <v/>
      </c>
      <c r="Q2367" s="47" t="str">
        <f>IF(AND(B2367='111'!$L$11,OR($N2367=$Q$7,$O2367=$Q$7)),"x","")</f>
        <v/>
      </c>
      <c r="R2367" s="47" t="str">
        <f>IF(AND($N2367=$Q$7,$B2367&lt;'111'!$L$11),"x","")</f>
        <v/>
      </c>
      <c r="S2367" s="47" t="str">
        <f>IF(AND($O2367=$Q$7,$B2367&lt;'111'!$L$11),"x","")</f>
        <v/>
      </c>
    </row>
    <row r="2368" spans="1:19" ht="15.75" customHeight="1">
      <c r="A2368" s="152" t="str">
        <f>IF(B2368&lt;&gt;"",IF(AND(B2368='IN-TC'!$S$4,OR(TH!N2368="1111",TH!O2368="1111")),TH!D2368,""),"")</f>
        <v/>
      </c>
      <c r="B2368" s="34">
        <f t="shared" si="95"/>
        <v>1</v>
      </c>
      <c r="C2368" s="35">
        <f t="shared" si="96"/>
        <v>0</v>
      </c>
      <c r="D2368" s="212"/>
      <c r="E2368" s="35"/>
      <c r="F2368" s="144"/>
      <c r="G2368" s="191"/>
      <c r="H2368" s="198"/>
      <c r="I2368" s="186"/>
      <c r="J2368" s="186"/>
      <c r="K2368" s="185"/>
      <c r="L2368" s="186"/>
      <c r="M2368" s="36">
        <f t="shared" si="94"/>
        <v>0</v>
      </c>
      <c r="N2368" s="37" t="s">
        <v>1443</v>
      </c>
      <c r="O2368" s="37" t="s">
        <v>8</v>
      </c>
      <c r="P2368" s="47" t="str">
        <f>IF(AND('331-CT'!$F$5=TH!H2368,OR(N2368="331",O2368="331")),"x","")</f>
        <v/>
      </c>
      <c r="Q2368" s="47" t="str">
        <f>IF(AND(B2368='111'!$L$11,OR($N2368=$Q$7,$O2368=$Q$7)),"x","")</f>
        <v/>
      </c>
      <c r="R2368" s="47" t="str">
        <f>IF(AND($N2368=$Q$7,$B2368&lt;'111'!$L$11),"x","")</f>
        <v/>
      </c>
      <c r="S2368" s="47" t="str">
        <f>IF(AND($O2368=$Q$7,$B2368&lt;'111'!$L$11),"x","")</f>
        <v/>
      </c>
    </row>
    <row r="2369" spans="1:19" ht="15.75" customHeight="1">
      <c r="A2369" s="152" t="str">
        <f>IF(B2369&lt;&gt;"",IF(AND(B2369='IN-TC'!$S$4,OR(TH!N2369="1111",TH!O2369="1111")),TH!D2369,""),"")</f>
        <v/>
      </c>
      <c r="B2369" s="34">
        <f t="shared" ref="B2369:B2402" si="97">IF(C2369&lt;&gt;"",MONTH(C2369),"")</f>
        <v>1</v>
      </c>
      <c r="C2369" s="35">
        <f t="shared" ref="C2369:C2402" si="98">E2369</f>
        <v>0</v>
      </c>
      <c r="D2369" s="212"/>
      <c r="E2369" s="35"/>
      <c r="F2369" s="144"/>
      <c r="G2369" s="191"/>
      <c r="H2369" s="198"/>
      <c r="I2369" s="186"/>
      <c r="J2369" s="186"/>
      <c r="K2369" s="185"/>
      <c r="L2369" s="186"/>
      <c r="M2369" s="36">
        <f t="shared" si="94"/>
        <v>0</v>
      </c>
      <c r="N2369" s="37" t="s">
        <v>1443</v>
      </c>
      <c r="O2369" s="37" t="s">
        <v>8</v>
      </c>
      <c r="P2369" s="47" t="str">
        <f>IF(AND('331-CT'!$F$5=TH!H2369,OR(N2369="331",O2369="331")),"x","")</f>
        <v/>
      </c>
      <c r="Q2369" s="47" t="str">
        <f>IF(AND(B2369='111'!$L$11,OR($N2369=$Q$7,$O2369=$Q$7)),"x","")</f>
        <v/>
      </c>
      <c r="R2369" s="47" t="str">
        <f>IF(AND($N2369=$Q$7,$B2369&lt;'111'!$L$11),"x","")</f>
        <v/>
      </c>
      <c r="S2369" s="47" t="str">
        <f>IF(AND($O2369=$Q$7,$B2369&lt;'111'!$L$11),"x","")</f>
        <v/>
      </c>
    </row>
    <row r="2370" spans="1:19" ht="15.75" customHeight="1">
      <c r="A2370" s="152" t="str">
        <f>IF(B2370&lt;&gt;"",IF(AND(B2370='IN-TC'!$S$4,OR(TH!N2370="1111",TH!O2370="1111")),TH!D2370,""),"")</f>
        <v/>
      </c>
      <c r="B2370" s="34">
        <f t="shared" si="97"/>
        <v>1</v>
      </c>
      <c r="C2370" s="35">
        <f t="shared" si="98"/>
        <v>0</v>
      </c>
      <c r="D2370" s="212"/>
      <c r="E2370" s="35"/>
      <c r="F2370" s="144"/>
      <c r="G2370" s="191"/>
      <c r="H2370" s="198"/>
      <c r="I2370" s="186"/>
      <c r="J2370" s="186"/>
      <c r="K2370" s="185"/>
      <c r="L2370" s="186"/>
      <c r="M2370" s="36">
        <f t="shared" si="94"/>
        <v>0</v>
      </c>
      <c r="N2370" s="37" t="s">
        <v>1443</v>
      </c>
      <c r="O2370" s="37" t="s">
        <v>8</v>
      </c>
      <c r="P2370" s="47" t="str">
        <f>IF(AND('331-CT'!$F$5=TH!H2370,OR(N2370="331",O2370="331")),"x","")</f>
        <v/>
      </c>
      <c r="Q2370" s="47" t="str">
        <f>IF(AND(B2370='111'!$L$11,OR($N2370=$Q$7,$O2370=$Q$7)),"x","")</f>
        <v/>
      </c>
      <c r="R2370" s="47" t="str">
        <f>IF(AND($N2370=$Q$7,$B2370&lt;'111'!$L$11),"x","")</f>
        <v/>
      </c>
      <c r="S2370" s="47" t="str">
        <f>IF(AND($O2370=$Q$7,$B2370&lt;'111'!$L$11),"x","")</f>
        <v/>
      </c>
    </row>
    <row r="2371" spans="1:19" ht="15.75" customHeight="1">
      <c r="A2371" s="152" t="str">
        <f>IF(B2371&lt;&gt;"",IF(AND(B2371='IN-TC'!$S$4,OR(TH!N2371="1111",TH!O2371="1111")),TH!D2371,""),"")</f>
        <v/>
      </c>
      <c r="B2371" s="34">
        <f t="shared" si="97"/>
        <v>1</v>
      </c>
      <c r="C2371" s="35">
        <f t="shared" si="98"/>
        <v>0</v>
      </c>
      <c r="D2371" s="212"/>
      <c r="E2371" s="35"/>
      <c r="F2371" s="144"/>
      <c r="G2371" s="191"/>
      <c r="H2371" s="198"/>
      <c r="I2371" s="186"/>
      <c r="J2371" s="186"/>
      <c r="K2371" s="185"/>
      <c r="L2371" s="186"/>
      <c r="M2371" s="36">
        <f t="shared" si="94"/>
        <v>0</v>
      </c>
      <c r="N2371" s="37" t="s">
        <v>1443</v>
      </c>
      <c r="O2371" s="37" t="s">
        <v>8</v>
      </c>
      <c r="P2371" s="47" t="str">
        <f>IF(AND('331-CT'!$F$5=TH!H2371,OR(N2371="331",O2371="331")),"x","")</f>
        <v/>
      </c>
      <c r="Q2371" s="47" t="str">
        <f>IF(AND(B2371='111'!$L$11,OR($N2371=$Q$7,$O2371=$Q$7)),"x","")</f>
        <v/>
      </c>
      <c r="R2371" s="47" t="str">
        <f>IF(AND($N2371=$Q$7,$B2371&lt;'111'!$L$11),"x","")</f>
        <v/>
      </c>
      <c r="S2371" s="47" t="str">
        <f>IF(AND($O2371=$Q$7,$B2371&lt;'111'!$L$11),"x","")</f>
        <v/>
      </c>
    </row>
    <row r="2372" spans="1:19" ht="15.75" customHeight="1">
      <c r="A2372" s="152" t="str">
        <f>IF(B2372&lt;&gt;"",IF(AND(B2372='IN-TC'!$S$4,OR(TH!N2372="1111",TH!O2372="1111")),TH!D2372,""),"")</f>
        <v/>
      </c>
      <c r="B2372" s="34">
        <f t="shared" si="97"/>
        <v>1</v>
      </c>
      <c r="C2372" s="35">
        <f t="shared" si="98"/>
        <v>0</v>
      </c>
      <c r="D2372" s="212"/>
      <c r="E2372" s="35"/>
      <c r="F2372" s="144"/>
      <c r="G2372" s="191"/>
      <c r="H2372" s="198"/>
      <c r="I2372" s="186"/>
      <c r="J2372" s="186"/>
      <c r="K2372" s="185"/>
      <c r="L2372" s="186"/>
      <c r="M2372" s="36">
        <f t="shared" si="94"/>
        <v>0</v>
      </c>
      <c r="N2372" s="37" t="s">
        <v>1443</v>
      </c>
      <c r="O2372" s="37" t="s">
        <v>8</v>
      </c>
      <c r="P2372" s="47" t="str">
        <f>IF(AND('331-CT'!$F$5=TH!H2372,OR(N2372="331",O2372="331")),"x","")</f>
        <v/>
      </c>
      <c r="Q2372" s="47" t="str">
        <f>IF(AND(B2372='111'!$L$11,OR($N2372=$Q$7,$O2372=$Q$7)),"x","")</f>
        <v/>
      </c>
      <c r="R2372" s="47" t="str">
        <f>IF(AND($N2372=$Q$7,$B2372&lt;'111'!$L$11),"x","")</f>
        <v/>
      </c>
      <c r="S2372" s="47" t="str">
        <f>IF(AND($O2372=$Q$7,$B2372&lt;'111'!$L$11),"x","")</f>
        <v/>
      </c>
    </row>
    <row r="2373" spans="1:19" ht="15.75" customHeight="1">
      <c r="A2373" s="152" t="str">
        <f>IF(B2373&lt;&gt;"",IF(AND(B2373='IN-TC'!$S$4,OR(TH!N2373="1111",TH!O2373="1111")),TH!D2373,""),"")</f>
        <v/>
      </c>
      <c r="B2373" s="34">
        <f t="shared" si="97"/>
        <v>1</v>
      </c>
      <c r="C2373" s="35">
        <f t="shared" si="98"/>
        <v>0</v>
      </c>
      <c r="D2373" s="212"/>
      <c r="E2373" s="35"/>
      <c r="F2373" s="144"/>
      <c r="G2373" s="191"/>
      <c r="H2373" s="198"/>
      <c r="I2373" s="186"/>
      <c r="J2373" s="186"/>
      <c r="K2373" s="185"/>
      <c r="L2373" s="186"/>
      <c r="M2373" s="36">
        <f t="shared" si="94"/>
        <v>0</v>
      </c>
      <c r="N2373" s="37" t="s">
        <v>1443</v>
      </c>
      <c r="O2373" s="37" t="s">
        <v>8</v>
      </c>
      <c r="P2373" s="47" t="str">
        <f>IF(AND('331-CT'!$F$5=TH!H2373,OR(N2373="331",O2373="331")),"x","")</f>
        <v/>
      </c>
      <c r="Q2373" s="47" t="str">
        <f>IF(AND(B2373='111'!$L$11,OR($N2373=$Q$7,$O2373=$Q$7)),"x","")</f>
        <v/>
      </c>
      <c r="R2373" s="47" t="str">
        <f>IF(AND($N2373=$Q$7,$B2373&lt;'111'!$L$11),"x","")</f>
        <v/>
      </c>
      <c r="S2373" s="47" t="str">
        <f>IF(AND($O2373=$Q$7,$B2373&lt;'111'!$L$11),"x","")</f>
        <v/>
      </c>
    </row>
    <row r="2374" spans="1:19" ht="15.75" customHeight="1">
      <c r="A2374" s="152" t="str">
        <f>IF(B2374&lt;&gt;"",IF(AND(B2374='IN-TC'!$S$4,OR(TH!N2374="1111",TH!O2374="1111")),TH!D2374,""),"")</f>
        <v/>
      </c>
      <c r="B2374" s="34">
        <f t="shared" si="97"/>
        <v>1</v>
      </c>
      <c r="C2374" s="35">
        <f t="shared" si="98"/>
        <v>0</v>
      </c>
      <c r="D2374" s="212"/>
      <c r="E2374" s="35"/>
      <c r="F2374" s="144"/>
      <c r="G2374" s="191"/>
      <c r="H2374" s="198"/>
      <c r="I2374" s="186"/>
      <c r="J2374" s="186"/>
      <c r="K2374" s="185"/>
      <c r="L2374" s="186"/>
      <c r="M2374" s="36">
        <f t="shared" si="94"/>
        <v>0</v>
      </c>
      <c r="N2374" s="37" t="s">
        <v>1443</v>
      </c>
      <c r="O2374" s="37" t="s">
        <v>8</v>
      </c>
      <c r="P2374" s="47" t="str">
        <f>IF(AND('331-CT'!$F$5=TH!H2374,OR(N2374="331",O2374="331")),"x","")</f>
        <v/>
      </c>
      <c r="Q2374" s="47" t="str">
        <f>IF(AND(B2374='111'!$L$11,OR($N2374=$Q$7,$O2374=$Q$7)),"x","")</f>
        <v/>
      </c>
      <c r="R2374" s="47" t="str">
        <f>IF(AND($N2374=$Q$7,$B2374&lt;'111'!$L$11),"x","")</f>
        <v/>
      </c>
      <c r="S2374" s="47" t="str">
        <f>IF(AND($O2374=$Q$7,$B2374&lt;'111'!$L$11),"x","")</f>
        <v/>
      </c>
    </row>
    <row r="2375" spans="1:19" ht="15.75" customHeight="1">
      <c r="A2375" s="152" t="str">
        <f>IF(B2375&lt;&gt;"",IF(AND(B2375='IN-TC'!$S$4,OR(TH!N2375="1111",TH!O2375="1111")),TH!D2375,""),"")</f>
        <v/>
      </c>
      <c r="B2375" s="34">
        <f t="shared" si="97"/>
        <v>1</v>
      </c>
      <c r="C2375" s="35">
        <f t="shared" si="98"/>
        <v>0</v>
      </c>
      <c r="D2375" s="212"/>
      <c r="E2375" s="35"/>
      <c r="F2375" s="144"/>
      <c r="G2375" s="191"/>
      <c r="H2375" s="198"/>
      <c r="I2375" s="186"/>
      <c r="J2375" s="186"/>
      <c r="K2375" s="185"/>
      <c r="L2375" s="186"/>
      <c r="M2375" s="36">
        <f t="shared" si="94"/>
        <v>0</v>
      </c>
      <c r="N2375" s="37" t="s">
        <v>1443</v>
      </c>
      <c r="O2375" s="37" t="s">
        <v>8</v>
      </c>
      <c r="P2375" s="47" t="str">
        <f>IF(AND('331-CT'!$F$5=TH!H2375,OR(N2375="331",O2375="331")),"x","")</f>
        <v/>
      </c>
      <c r="Q2375" s="47" t="str">
        <f>IF(AND(B2375='111'!$L$11,OR($N2375=$Q$7,$O2375=$Q$7)),"x","")</f>
        <v/>
      </c>
      <c r="R2375" s="47" t="str">
        <f>IF(AND($N2375=$Q$7,$B2375&lt;'111'!$L$11),"x","")</f>
        <v/>
      </c>
      <c r="S2375" s="47" t="str">
        <f>IF(AND($O2375=$Q$7,$B2375&lt;'111'!$L$11),"x","")</f>
        <v/>
      </c>
    </row>
    <row r="2376" spans="1:19" ht="15.75" customHeight="1">
      <c r="A2376" s="152" t="str">
        <f>IF(B2376&lt;&gt;"",IF(AND(B2376='IN-TC'!$S$4,OR(TH!N2376="1111",TH!O2376="1111")),TH!D2376,""),"")</f>
        <v/>
      </c>
      <c r="B2376" s="34">
        <f t="shared" si="97"/>
        <v>1</v>
      </c>
      <c r="C2376" s="35">
        <f t="shared" si="98"/>
        <v>0</v>
      </c>
      <c r="D2376" s="212"/>
      <c r="E2376" s="35"/>
      <c r="F2376" s="144"/>
      <c r="G2376" s="191"/>
      <c r="H2376" s="198"/>
      <c r="I2376" s="186"/>
      <c r="J2376" s="186"/>
      <c r="K2376" s="185"/>
      <c r="L2376" s="186"/>
      <c r="M2376" s="36">
        <f t="shared" si="94"/>
        <v>0</v>
      </c>
      <c r="N2376" s="37" t="s">
        <v>1443</v>
      </c>
      <c r="O2376" s="37" t="s">
        <v>8</v>
      </c>
      <c r="P2376" s="47" t="str">
        <f>IF(AND('331-CT'!$F$5=TH!H2376,OR(N2376="331",O2376="331")),"x","")</f>
        <v/>
      </c>
      <c r="Q2376" s="47" t="str">
        <f>IF(AND(B2376='111'!$L$11,OR($N2376=$Q$7,$O2376=$Q$7)),"x","")</f>
        <v/>
      </c>
      <c r="R2376" s="47" t="str">
        <f>IF(AND($N2376=$Q$7,$B2376&lt;'111'!$L$11),"x","")</f>
        <v/>
      </c>
      <c r="S2376" s="47" t="str">
        <f>IF(AND($O2376=$Q$7,$B2376&lt;'111'!$L$11),"x","")</f>
        <v/>
      </c>
    </row>
    <row r="2377" spans="1:19" ht="15.75" customHeight="1">
      <c r="A2377" s="152" t="str">
        <f>IF(B2377&lt;&gt;"",IF(AND(B2377='IN-TC'!$S$4,OR(TH!N2377="1111",TH!O2377="1111")),TH!D2377,""),"")</f>
        <v/>
      </c>
      <c r="B2377" s="34">
        <f t="shared" si="97"/>
        <v>1</v>
      </c>
      <c r="C2377" s="35">
        <f t="shared" si="98"/>
        <v>0</v>
      </c>
      <c r="D2377" s="212"/>
      <c r="E2377" s="35"/>
      <c r="F2377" s="144"/>
      <c r="G2377" s="191"/>
      <c r="H2377" s="198"/>
      <c r="I2377" s="186"/>
      <c r="J2377" s="186"/>
      <c r="K2377" s="185"/>
      <c r="L2377" s="186"/>
      <c r="M2377" s="36">
        <f t="shared" si="94"/>
        <v>0</v>
      </c>
      <c r="N2377" s="37" t="s">
        <v>1443</v>
      </c>
      <c r="O2377" s="37" t="s">
        <v>8</v>
      </c>
      <c r="P2377" s="47" t="str">
        <f>IF(AND('331-CT'!$F$5=TH!H2377,OR(N2377="331",O2377="331")),"x","")</f>
        <v/>
      </c>
      <c r="Q2377" s="47" t="str">
        <f>IF(AND(B2377='111'!$L$11,OR($N2377=$Q$7,$O2377=$Q$7)),"x","")</f>
        <v/>
      </c>
      <c r="R2377" s="47" t="str">
        <f>IF(AND($N2377=$Q$7,$B2377&lt;'111'!$L$11),"x","")</f>
        <v/>
      </c>
      <c r="S2377" s="47" t="str">
        <f>IF(AND($O2377=$Q$7,$B2377&lt;'111'!$L$11),"x","")</f>
        <v/>
      </c>
    </row>
    <row r="2378" spans="1:19" ht="15.75" customHeight="1">
      <c r="A2378" s="152" t="str">
        <f>IF(B2378&lt;&gt;"",IF(AND(B2378='IN-TC'!$S$4,OR(TH!N2378="1111",TH!O2378="1111")),TH!D2378,""),"")</f>
        <v/>
      </c>
      <c r="B2378" s="34">
        <f t="shared" si="97"/>
        <v>1</v>
      </c>
      <c r="C2378" s="35">
        <f t="shared" si="98"/>
        <v>0</v>
      </c>
      <c r="D2378" s="212"/>
      <c r="E2378" s="35"/>
      <c r="F2378" s="144"/>
      <c r="G2378" s="191"/>
      <c r="H2378" s="198"/>
      <c r="I2378" s="186"/>
      <c r="J2378" s="186"/>
      <c r="K2378" s="185"/>
      <c r="L2378" s="186"/>
      <c r="M2378" s="36">
        <f t="shared" si="94"/>
        <v>0</v>
      </c>
      <c r="N2378" s="37" t="s">
        <v>1443</v>
      </c>
      <c r="O2378" s="37" t="s">
        <v>8</v>
      </c>
      <c r="P2378" s="47" t="str">
        <f>IF(AND('331-CT'!$F$5=TH!H2378,OR(N2378="331",O2378="331")),"x","")</f>
        <v/>
      </c>
      <c r="Q2378" s="47" t="str">
        <f>IF(AND(B2378='111'!$L$11,OR($N2378=$Q$7,$O2378=$Q$7)),"x","")</f>
        <v/>
      </c>
      <c r="R2378" s="47" t="str">
        <f>IF(AND($N2378=$Q$7,$B2378&lt;'111'!$L$11),"x","")</f>
        <v/>
      </c>
      <c r="S2378" s="47" t="str">
        <f>IF(AND($O2378=$Q$7,$B2378&lt;'111'!$L$11),"x","")</f>
        <v/>
      </c>
    </row>
    <row r="2379" spans="1:19" ht="15.75" customHeight="1">
      <c r="A2379" s="152" t="str">
        <f>IF(B2379&lt;&gt;"",IF(AND(B2379='IN-TC'!$S$4,OR(TH!N2379="1111",TH!O2379="1111")),TH!D2379,""),"")</f>
        <v/>
      </c>
      <c r="B2379" s="34">
        <f t="shared" si="97"/>
        <v>1</v>
      </c>
      <c r="C2379" s="35">
        <f t="shared" si="98"/>
        <v>0</v>
      </c>
      <c r="D2379" s="212"/>
      <c r="E2379" s="35"/>
      <c r="F2379" s="144"/>
      <c r="G2379" s="191"/>
      <c r="H2379" s="198"/>
      <c r="I2379" s="186"/>
      <c r="J2379" s="186"/>
      <c r="K2379" s="185"/>
      <c r="L2379" s="186"/>
      <c r="M2379" s="36">
        <f t="shared" ref="M2379:M2429" si="99">ROUND(I2379*J2379,-3)</f>
        <v>0</v>
      </c>
      <c r="N2379" s="37" t="s">
        <v>1443</v>
      </c>
      <c r="O2379" s="37" t="s">
        <v>8</v>
      </c>
      <c r="P2379" s="47" t="str">
        <f>IF(AND('331-CT'!$F$5=TH!H2379,OR(N2379="331",O2379="331")),"x","")</f>
        <v/>
      </c>
      <c r="Q2379" s="47" t="str">
        <f>IF(AND(B2379='111'!$L$11,OR($N2379=$Q$7,$O2379=$Q$7)),"x","")</f>
        <v/>
      </c>
      <c r="R2379" s="47" t="str">
        <f>IF(AND($N2379=$Q$7,$B2379&lt;'111'!$L$11),"x","")</f>
        <v/>
      </c>
      <c r="S2379" s="47" t="str">
        <f>IF(AND($O2379=$Q$7,$B2379&lt;'111'!$L$11),"x","")</f>
        <v/>
      </c>
    </row>
    <row r="2380" spans="1:19" ht="15.75" customHeight="1">
      <c r="A2380" s="152" t="str">
        <f>IF(B2380&lt;&gt;"",IF(AND(B2380='IN-TC'!$S$4,OR(TH!N2380="1111",TH!O2380="1111")),TH!D2380,""),"")</f>
        <v/>
      </c>
      <c r="B2380" s="34">
        <f t="shared" si="97"/>
        <v>1</v>
      </c>
      <c r="C2380" s="35">
        <f t="shared" si="98"/>
        <v>0</v>
      </c>
      <c r="D2380" s="212"/>
      <c r="E2380" s="35"/>
      <c r="F2380" s="144"/>
      <c r="G2380" s="191"/>
      <c r="H2380" s="198"/>
      <c r="I2380" s="186"/>
      <c r="J2380" s="186"/>
      <c r="K2380" s="185"/>
      <c r="L2380" s="186"/>
      <c r="M2380" s="36">
        <f t="shared" si="99"/>
        <v>0</v>
      </c>
      <c r="N2380" s="37" t="s">
        <v>1443</v>
      </c>
      <c r="O2380" s="37" t="s">
        <v>8</v>
      </c>
      <c r="P2380" s="47" t="str">
        <f>IF(AND('331-CT'!$F$5=TH!H2380,OR(N2380="331",O2380="331")),"x","")</f>
        <v/>
      </c>
      <c r="Q2380" s="47" t="str">
        <f>IF(AND(B2380='111'!$L$11,OR($N2380=$Q$7,$O2380=$Q$7)),"x","")</f>
        <v/>
      </c>
      <c r="R2380" s="47" t="str">
        <f>IF(AND($N2380=$Q$7,$B2380&lt;'111'!$L$11),"x","")</f>
        <v/>
      </c>
      <c r="S2380" s="47" t="str">
        <f>IF(AND($O2380=$Q$7,$B2380&lt;'111'!$L$11),"x","")</f>
        <v/>
      </c>
    </row>
    <row r="2381" spans="1:19" ht="15.75" customHeight="1">
      <c r="A2381" s="152" t="str">
        <f>IF(B2381&lt;&gt;"",IF(AND(B2381='IN-TC'!$S$4,OR(TH!N2381="1111",TH!O2381="1111")),TH!D2381,""),"")</f>
        <v/>
      </c>
      <c r="B2381" s="34">
        <f t="shared" si="97"/>
        <v>1</v>
      </c>
      <c r="C2381" s="35">
        <f t="shared" si="98"/>
        <v>0</v>
      </c>
      <c r="D2381" s="212"/>
      <c r="E2381" s="35"/>
      <c r="F2381" s="144"/>
      <c r="G2381" s="191"/>
      <c r="H2381" s="198"/>
      <c r="I2381" s="186"/>
      <c r="J2381" s="186"/>
      <c r="K2381" s="185"/>
      <c r="L2381" s="186"/>
      <c r="M2381" s="36">
        <f t="shared" si="99"/>
        <v>0</v>
      </c>
      <c r="N2381" s="37" t="s">
        <v>1443</v>
      </c>
      <c r="O2381" s="37" t="s">
        <v>8</v>
      </c>
      <c r="P2381" s="47" t="str">
        <f>IF(AND('331-CT'!$F$5=TH!H2381,OR(N2381="331",O2381="331")),"x","")</f>
        <v/>
      </c>
      <c r="Q2381" s="47" t="str">
        <f>IF(AND(B2381='111'!$L$11,OR($N2381=$Q$7,$O2381=$Q$7)),"x","")</f>
        <v/>
      </c>
      <c r="R2381" s="47" t="str">
        <f>IF(AND($N2381=$Q$7,$B2381&lt;'111'!$L$11),"x","")</f>
        <v/>
      </c>
      <c r="S2381" s="47" t="str">
        <f>IF(AND($O2381=$Q$7,$B2381&lt;'111'!$L$11),"x","")</f>
        <v/>
      </c>
    </row>
    <row r="2382" spans="1:19" ht="15.75" customHeight="1">
      <c r="A2382" s="152" t="str">
        <f>IF(B2382&lt;&gt;"",IF(AND(B2382='IN-TC'!$S$4,OR(TH!N2382="1111",TH!O2382="1111")),TH!D2382,""),"")</f>
        <v/>
      </c>
      <c r="B2382" s="34">
        <f t="shared" si="97"/>
        <v>1</v>
      </c>
      <c r="C2382" s="35">
        <f t="shared" si="98"/>
        <v>0</v>
      </c>
      <c r="D2382" s="212"/>
      <c r="E2382" s="35"/>
      <c r="F2382" s="144"/>
      <c r="G2382" s="191"/>
      <c r="H2382" s="198"/>
      <c r="I2382" s="186"/>
      <c r="J2382" s="186"/>
      <c r="K2382" s="185"/>
      <c r="L2382" s="186"/>
      <c r="M2382" s="36">
        <f t="shared" si="99"/>
        <v>0</v>
      </c>
      <c r="N2382" s="37" t="s">
        <v>1443</v>
      </c>
      <c r="O2382" s="37" t="s">
        <v>8</v>
      </c>
      <c r="P2382" s="47" t="str">
        <f>IF(AND('331-CT'!$F$5=TH!H2382,OR(N2382="331",O2382="331")),"x","")</f>
        <v/>
      </c>
      <c r="Q2382" s="47" t="str">
        <f>IF(AND(B2382='111'!$L$11,OR($N2382=$Q$7,$O2382=$Q$7)),"x","")</f>
        <v/>
      </c>
      <c r="R2382" s="47" t="str">
        <f>IF(AND($N2382=$Q$7,$B2382&lt;'111'!$L$11),"x","")</f>
        <v/>
      </c>
      <c r="S2382" s="47" t="str">
        <f>IF(AND($O2382=$Q$7,$B2382&lt;'111'!$L$11),"x","")</f>
        <v/>
      </c>
    </row>
    <row r="2383" spans="1:19" ht="15.75" customHeight="1">
      <c r="A2383" s="152" t="str">
        <f>IF(B2383&lt;&gt;"",IF(AND(B2383='IN-TC'!$S$4,OR(TH!N2383="1111",TH!O2383="1111")),TH!D2383,""),"")</f>
        <v/>
      </c>
      <c r="B2383" s="34">
        <f t="shared" si="97"/>
        <v>1</v>
      </c>
      <c r="C2383" s="35">
        <f t="shared" si="98"/>
        <v>0</v>
      </c>
      <c r="D2383" s="212"/>
      <c r="E2383" s="35"/>
      <c r="F2383" s="144"/>
      <c r="G2383" s="191"/>
      <c r="H2383" s="198"/>
      <c r="I2383" s="186"/>
      <c r="J2383" s="186"/>
      <c r="K2383" s="185"/>
      <c r="L2383" s="186"/>
      <c r="M2383" s="36">
        <f t="shared" si="99"/>
        <v>0</v>
      </c>
      <c r="N2383" s="37" t="s">
        <v>1443</v>
      </c>
      <c r="O2383" s="37" t="s">
        <v>8</v>
      </c>
      <c r="P2383" s="47" t="str">
        <f>IF(AND('331-CT'!$F$5=TH!H2383,OR(N2383="331",O2383="331")),"x","")</f>
        <v/>
      </c>
      <c r="Q2383" s="47" t="str">
        <f>IF(AND(B2383='111'!$L$11,OR($N2383=$Q$7,$O2383=$Q$7)),"x","")</f>
        <v/>
      </c>
      <c r="R2383" s="47" t="str">
        <f>IF(AND($N2383=$Q$7,$B2383&lt;'111'!$L$11),"x","")</f>
        <v/>
      </c>
      <c r="S2383" s="47" t="str">
        <f>IF(AND($O2383=$Q$7,$B2383&lt;'111'!$L$11),"x","")</f>
        <v/>
      </c>
    </row>
    <row r="2384" spans="1:19" ht="15.75" customHeight="1">
      <c r="A2384" s="152" t="str">
        <f>IF(B2384&lt;&gt;"",IF(AND(B2384='IN-TC'!$S$4,OR(TH!N2384="1111",TH!O2384="1111")),TH!D2384,""),"")</f>
        <v/>
      </c>
      <c r="B2384" s="34">
        <f t="shared" si="97"/>
        <v>1</v>
      </c>
      <c r="C2384" s="35">
        <f t="shared" si="98"/>
        <v>0</v>
      </c>
      <c r="D2384" s="212"/>
      <c r="E2384" s="35"/>
      <c r="F2384" s="144"/>
      <c r="G2384" s="191"/>
      <c r="H2384" s="198"/>
      <c r="I2384" s="186"/>
      <c r="J2384" s="186"/>
      <c r="K2384" s="185"/>
      <c r="L2384" s="186"/>
      <c r="M2384" s="36">
        <f t="shared" si="99"/>
        <v>0</v>
      </c>
      <c r="N2384" s="37" t="s">
        <v>1443</v>
      </c>
      <c r="O2384" s="37" t="s">
        <v>8</v>
      </c>
      <c r="P2384" s="47" t="str">
        <f>IF(AND('331-CT'!$F$5=TH!H2384,OR(N2384="331",O2384="331")),"x","")</f>
        <v/>
      </c>
      <c r="Q2384" s="47" t="str">
        <f>IF(AND(B2384='111'!$L$11,OR($N2384=$Q$7,$O2384=$Q$7)),"x","")</f>
        <v/>
      </c>
      <c r="R2384" s="47" t="str">
        <f>IF(AND($N2384=$Q$7,$B2384&lt;'111'!$L$11),"x","")</f>
        <v/>
      </c>
      <c r="S2384" s="47" t="str">
        <f>IF(AND($O2384=$Q$7,$B2384&lt;'111'!$L$11),"x","")</f>
        <v/>
      </c>
    </row>
    <row r="2385" spans="1:19" ht="15.75" customHeight="1">
      <c r="A2385" s="152" t="str">
        <f>IF(B2385&lt;&gt;"",IF(AND(B2385='IN-TC'!$S$4,OR(TH!N2385="1111",TH!O2385="1111")),TH!D2385,""),"")</f>
        <v/>
      </c>
      <c r="B2385" s="34">
        <f t="shared" si="97"/>
        <v>1</v>
      </c>
      <c r="C2385" s="35">
        <f t="shared" si="98"/>
        <v>0</v>
      </c>
      <c r="D2385" s="212"/>
      <c r="E2385" s="35"/>
      <c r="F2385" s="144"/>
      <c r="G2385" s="191"/>
      <c r="H2385" s="198"/>
      <c r="I2385" s="186"/>
      <c r="J2385" s="186"/>
      <c r="K2385" s="185"/>
      <c r="L2385" s="186"/>
      <c r="M2385" s="36">
        <f t="shared" si="99"/>
        <v>0</v>
      </c>
      <c r="N2385" s="37" t="s">
        <v>1443</v>
      </c>
      <c r="O2385" s="37" t="s">
        <v>8</v>
      </c>
      <c r="P2385" s="47" t="str">
        <f>IF(AND('331-CT'!$F$5=TH!H2385,OR(N2385="331",O2385="331")),"x","")</f>
        <v/>
      </c>
      <c r="Q2385" s="47" t="str">
        <f>IF(AND(B2385='111'!$L$11,OR($N2385=$Q$7,$O2385=$Q$7)),"x","")</f>
        <v/>
      </c>
      <c r="R2385" s="47" t="str">
        <f>IF(AND($N2385=$Q$7,$B2385&lt;'111'!$L$11),"x","")</f>
        <v/>
      </c>
      <c r="S2385" s="47" t="str">
        <f>IF(AND($O2385=$Q$7,$B2385&lt;'111'!$L$11),"x","")</f>
        <v/>
      </c>
    </row>
    <row r="2386" spans="1:19" ht="15.75" customHeight="1">
      <c r="A2386" s="152" t="str">
        <f>IF(B2386&lt;&gt;"",IF(AND(B2386='IN-TC'!$S$4,OR(TH!N2386="1111",TH!O2386="1111")),TH!D2386,""),"")</f>
        <v/>
      </c>
      <c r="B2386" s="34">
        <f t="shared" si="97"/>
        <v>1</v>
      </c>
      <c r="C2386" s="35">
        <f t="shared" si="98"/>
        <v>0</v>
      </c>
      <c r="D2386" s="212"/>
      <c r="E2386" s="35"/>
      <c r="F2386" s="144"/>
      <c r="G2386" s="191"/>
      <c r="H2386" s="198"/>
      <c r="I2386" s="186"/>
      <c r="J2386" s="186"/>
      <c r="K2386" s="185"/>
      <c r="L2386" s="186"/>
      <c r="M2386" s="36">
        <f t="shared" si="99"/>
        <v>0</v>
      </c>
      <c r="N2386" s="37" t="s">
        <v>1443</v>
      </c>
      <c r="O2386" s="37" t="s">
        <v>8</v>
      </c>
      <c r="P2386" s="47" t="str">
        <f>IF(AND('331-CT'!$F$5=TH!H2386,OR(N2386="331",O2386="331")),"x","")</f>
        <v/>
      </c>
      <c r="Q2386" s="47" t="str">
        <f>IF(AND(B2386='111'!$L$11,OR($N2386=$Q$7,$O2386=$Q$7)),"x","")</f>
        <v/>
      </c>
      <c r="R2386" s="47" t="str">
        <f>IF(AND($N2386=$Q$7,$B2386&lt;'111'!$L$11),"x","")</f>
        <v/>
      </c>
      <c r="S2386" s="47" t="str">
        <f>IF(AND($O2386=$Q$7,$B2386&lt;'111'!$L$11),"x","")</f>
        <v/>
      </c>
    </row>
    <row r="2387" spans="1:19" ht="15.75" customHeight="1">
      <c r="A2387" s="152" t="str">
        <f>IF(B2387&lt;&gt;"",IF(AND(B2387='IN-TC'!$S$4,OR(TH!N2387="1111",TH!O2387="1111")),TH!D2387,""),"")</f>
        <v/>
      </c>
      <c r="B2387" s="34">
        <f t="shared" si="97"/>
        <v>1</v>
      </c>
      <c r="C2387" s="35">
        <f t="shared" si="98"/>
        <v>0</v>
      </c>
      <c r="D2387" s="212"/>
      <c r="E2387" s="35"/>
      <c r="F2387" s="144"/>
      <c r="G2387" s="191"/>
      <c r="H2387" s="198"/>
      <c r="I2387" s="186"/>
      <c r="J2387" s="186"/>
      <c r="K2387" s="185"/>
      <c r="L2387" s="186"/>
      <c r="M2387" s="36">
        <f t="shared" si="99"/>
        <v>0</v>
      </c>
      <c r="N2387" s="37" t="s">
        <v>1443</v>
      </c>
      <c r="O2387" s="37" t="s">
        <v>8</v>
      </c>
      <c r="P2387" s="47" t="str">
        <f>IF(AND('331-CT'!$F$5=TH!H2387,OR(N2387="331",O2387="331")),"x","")</f>
        <v/>
      </c>
      <c r="Q2387" s="47" t="str">
        <f>IF(AND(B2387='111'!$L$11,OR($N2387=$Q$7,$O2387=$Q$7)),"x","")</f>
        <v/>
      </c>
      <c r="R2387" s="47" t="str">
        <f>IF(AND($N2387=$Q$7,$B2387&lt;'111'!$L$11),"x","")</f>
        <v/>
      </c>
      <c r="S2387" s="47" t="str">
        <f>IF(AND($O2387=$Q$7,$B2387&lt;'111'!$L$11),"x","")</f>
        <v/>
      </c>
    </row>
    <row r="2388" spans="1:19" ht="15.75" customHeight="1">
      <c r="A2388" s="152" t="str">
        <f>IF(B2388&lt;&gt;"",IF(AND(B2388='IN-TC'!$S$4,OR(TH!N2388="1111",TH!O2388="1111")),TH!D2388,""),"")</f>
        <v/>
      </c>
      <c r="B2388" s="34">
        <f t="shared" si="97"/>
        <v>1</v>
      </c>
      <c r="C2388" s="35">
        <f t="shared" si="98"/>
        <v>0</v>
      </c>
      <c r="D2388" s="212"/>
      <c r="E2388" s="35"/>
      <c r="F2388" s="144"/>
      <c r="G2388" s="191"/>
      <c r="H2388" s="198"/>
      <c r="I2388" s="186"/>
      <c r="J2388" s="186"/>
      <c r="K2388" s="185"/>
      <c r="L2388" s="186"/>
      <c r="M2388" s="36">
        <f t="shared" si="99"/>
        <v>0</v>
      </c>
      <c r="N2388" s="37" t="s">
        <v>1443</v>
      </c>
      <c r="O2388" s="37" t="s">
        <v>8</v>
      </c>
      <c r="P2388" s="47" t="str">
        <f>IF(AND('331-CT'!$F$5=TH!H2388,OR(N2388="331",O2388="331")),"x","")</f>
        <v/>
      </c>
      <c r="Q2388" s="47" t="str">
        <f>IF(AND(B2388='111'!$L$11,OR($N2388=$Q$7,$O2388=$Q$7)),"x","")</f>
        <v/>
      </c>
      <c r="R2388" s="47" t="str">
        <f>IF(AND($N2388=$Q$7,$B2388&lt;'111'!$L$11),"x","")</f>
        <v/>
      </c>
      <c r="S2388" s="47" t="str">
        <f>IF(AND($O2388=$Q$7,$B2388&lt;'111'!$L$11),"x","")</f>
        <v/>
      </c>
    </row>
    <row r="2389" spans="1:19" ht="15.75" customHeight="1">
      <c r="A2389" s="152" t="str">
        <f>IF(B2389&lt;&gt;"",IF(AND(B2389='IN-TC'!$S$4,OR(TH!N2389="1111",TH!O2389="1111")),TH!D2389,""),"")</f>
        <v/>
      </c>
      <c r="B2389" s="34">
        <f t="shared" si="97"/>
        <v>1</v>
      </c>
      <c r="C2389" s="35">
        <f t="shared" si="98"/>
        <v>0</v>
      </c>
      <c r="D2389" s="212"/>
      <c r="E2389" s="35"/>
      <c r="F2389" s="144"/>
      <c r="G2389" s="191"/>
      <c r="H2389" s="198"/>
      <c r="I2389" s="186"/>
      <c r="J2389" s="186"/>
      <c r="K2389" s="185"/>
      <c r="L2389" s="186"/>
      <c r="M2389" s="36">
        <f t="shared" si="99"/>
        <v>0</v>
      </c>
      <c r="N2389" s="37" t="s">
        <v>1443</v>
      </c>
      <c r="O2389" s="37" t="s">
        <v>8</v>
      </c>
      <c r="P2389" s="47" t="str">
        <f>IF(AND('331-CT'!$F$5=TH!H2389,OR(N2389="331",O2389="331")),"x","")</f>
        <v/>
      </c>
      <c r="Q2389" s="47" t="str">
        <f>IF(AND(B2389='111'!$L$11,OR($N2389=$Q$7,$O2389=$Q$7)),"x","")</f>
        <v/>
      </c>
      <c r="R2389" s="47" t="str">
        <f>IF(AND($N2389=$Q$7,$B2389&lt;'111'!$L$11),"x","")</f>
        <v/>
      </c>
      <c r="S2389" s="47" t="str">
        <f>IF(AND($O2389=$Q$7,$B2389&lt;'111'!$L$11),"x","")</f>
        <v/>
      </c>
    </row>
    <row r="2390" spans="1:19" ht="15.75" customHeight="1">
      <c r="A2390" s="152" t="str">
        <f>IF(B2390&lt;&gt;"",IF(AND(B2390='IN-TC'!$S$4,OR(TH!N2390="1111",TH!O2390="1111")),TH!D2390,""),"")</f>
        <v/>
      </c>
      <c r="B2390" s="34">
        <f t="shared" si="97"/>
        <v>1</v>
      </c>
      <c r="C2390" s="35">
        <f t="shared" si="98"/>
        <v>0</v>
      </c>
      <c r="D2390" s="212"/>
      <c r="E2390" s="35"/>
      <c r="F2390" s="144"/>
      <c r="G2390" s="191"/>
      <c r="H2390" s="198"/>
      <c r="I2390" s="186"/>
      <c r="J2390" s="186"/>
      <c r="K2390" s="185"/>
      <c r="L2390" s="186"/>
      <c r="M2390" s="36">
        <f t="shared" si="99"/>
        <v>0</v>
      </c>
      <c r="N2390" s="37" t="s">
        <v>1443</v>
      </c>
      <c r="O2390" s="37" t="s">
        <v>8</v>
      </c>
      <c r="P2390" s="47" t="str">
        <f>IF(AND('331-CT'!$F$5=TH!H2390,OR(N2390="331",O2390="331")),"x","")</f>
        <v/>
      </c>
      <c r="Q2390" s="47" t="str">
        <f>IF(AND(B2390='111'!$L$11,OR($N2390=$Q$7,$O2390=$Q$7)),"x","")</f>
        <v/>
      </c>
      <c r="R2390" s="47" t="str">
        <f>IF(AND($N2390=$Q$7,$B2390&lt;'111'!$L$11),"x","")</f>
        <v/>
      </c>
      <c r="S2390" s="47" t="str">
        <f>IF(AND($O2390=$Q$7,$B2390&lt;'111'!$L$11),"x","")</f>
        <v/>
      </c>
    </row>
    <row r="2391" spans="1:19" ht="15.75" customHeight="1">
      <c r="A2391" s="152" t="str">
        <f>IF(B2391&lt;&gt;"",IF(AND(B2391='IN-TC'!$S$4,OR(TH!N2391="1111",TH!O2391="1111")),TH!D2391,""),"")</f>
        <v/>
      </c>
      <c r="B2391" s="34">
        <f t="shared" si="97"/>
        <v>1</v>
      </c>
      <c r="C2391" s="35">
        <f t="shared" si="98"/>
        <v>0</v>
      </c>
      <c r="D2391" s="212"/>
      <c r="E2391" s="35"/>
      <c r="F2391" s="144"/>
      <c r="G2391" s="191"/>
      <c r="H2391" s="198"/>
      <c r="I2391" s="186"/>
      <c r="J2391" s="186"/>
      <c r="K2391" s="185"/>
      <c r="L2391" s="186"/>
      <c r="M2391" s="36">
        <f t="shared" si="99"/>
        <v>0</v>
      </c>
      <c r="N2391" s="37" t="s">
        <v>1443</v>
      </c>
      <c r="O2391" s="37" t="s">
        <v>8</v>
      </c>
      <c r="P2391" s="47" t="str">
        <f>IF(AND('331-CT'!$F$5=TH!H2391,OR(N2391="331",O2391="331")),"x","")</f>
        <v/>
      </c>
      <c r="Q2391" s="47" t="str">
        <f>IF(AND(B2391='111'!$L$11,OR($N2391=$Q$7,$O2391=$Q$7)),"x","")</f>
        <v/>
      </c>
      <c r="R2391" s="47" t="str">
        <f>IF(AND($N2391=$Q$7,$B2391&lt;'111'!$L$11),"x","")</f>
        <v/>
      </c>
      <c r="S2391" s="47" t="str">
        <f>IF(AND($O2391=$Q$7,$B2391&lt;'111'!$L$11),"x","")</f>
        <v/>
      </c>
    </row>
    <row r="2392" spans="1:19" ht="15.75" customHeight="1">
      <c r="A2392" s="152" t="str">
        <f>IF(B2392&lt;&gt;"",IF(AND(B2392='IN-TC'!$S$4,OR(TH!N2392="1111",TH!O2392="1111")),TH!D2392,""),"")</f>
        <v/>
      </c>
      <c r="B2392" s="34">
        <f t="shared" si="97"/>
        <v>1</v>
      </c>
      <c r="C2392" s="35">
        <f t="shared" si="98"/>
        <v>0</v>
      </c>
      <c r="D2392" s="212"/>
      <c r="E2392" s="35"/>
      <c r="F2392" s="144"/>
      <c r="G2392" s="191"/>
      <c r="H2392" s="198"/>
      <c r="I2392" s="186"/>
      <c r="J2392" s="186"/>
      <c r="K2392" s="185"/>
      <c r="L2392" s="186"/>
      <c r="M2392" s="36">
        <f t="shared" si="99"/>
        <v>0</v>
      </c>
      <c r="N2392" s="37" t="s">
        <v>1443</v>
      </c>
      <c r="O2392" s="37" t="s">
        <v>8</v>
      </c>
      <c r="P2392" s="47" t="str">
        <f>IF(AND('331-CT'!$F$5=TH!H2392,OR(N2392="331",O2392="331")),"x","")</f>
        <v/>
      </c>
      <c r="Q2392" s="47" t="str">
        <f>IF(AND(B2392='111'!$L$11,OR($N2392=$Q$7,$O2392=$Q$7)),"x","")</f>
        <v/>
      </c>
      <c r="R2392" s="47" t="str">
        <f>IF(AND($N2392=$Q$7,$B2392&lt;'111'!$L$11),"x","")</f>
        <v/>
      </c>
      <c r="S2392" s="47" t="str">
        <f>IF(AND($O2392=$Q$7,$B2392&lt;'111'!$L$11),"x","")</f>
        <v/>
      </c>
    </row>
    <row r="2393" spans="1:19" ht="15.75" customHeight="1">
      <c r="A2393" s="152" t="str">
        <f>IF(B2393&lt;&gt;"",IF(AND(B2393='IN-TC'!$S$4,OR(TH!N2393="1111",TH!O2393="1111")),TH!D2393,""),"")</f>
        <v/>
      </c>
      <c r="B2393" s="34">
        <f t="shared" si="97"/>
        <v>1</v>
      </c>
      <c r="C2393" s="35">
        <f t="shared" si="98"/>
        <v>0</v>
      </c>
      <c r="D2393" s="212"/>
      <c r="E2393" s="35"/>
      <c r="F2393" s="144"/>
      <c r="G2393" s="191"/>
      <c r="H2393" s="198"/>
      <c r="I2393" s="186"/>
      <c r="J2393" s="186"/>
      <c r="K2393" s="185"/>
      <c r="L2393" s="186"/>
      <c r="M2393" s="36">
        <f t="shared" si="99"/>
        <v>0</v>
      </c>
      <c r="N2393" s="37" t="s">
        <v>1443</v>
      </c>
      <c r="O2393" s="37" t="s">
        <v>8</v>
      </c>
      <c r="P2393" s="47" t="str">
        <f>IF(AND('331-CT'!$F$5=TH!H2393,OR(N2393="331",O2393="331")),"x","")</f>
        <v/>
      </c>
      <c r="Q2393" s="47" t="str">
        <f>IF(AND(B2393='111'!$L$11,OR($N2393=$Q$7,$O2393=$Q$7)),"x","")</f>
        <v/>
      </c>
      <c r="R2393" s="47" t="str">
        <f>IF(AND($N2393=$Q$7,$B2393&lt;'111'!$L$11),"x","")</f>
        <v/>
      </c>
      <c r="S2393" s="47" t="str">
        <f>IF(AND($O2393=$Q$7,$B2393&lt;'111'!$L$11),"x","")</f>
        <v/>
      </c>
    </row>
    <row r="2394" spans="1:19" ht="15.75" customHeight="1">
      <c r="A2394" s="152" t="str">
        <f>IF(B2394&lt;&gt;"",IF(AND(B2394='IN-TC'!$S$4,OR(TH!N2394="1111",TH!O2394="1111")),TH!D2394,""),"")</f>
        <v/>
      </c>
      <c r="B2394" s="34">
        <f t="shared" si="97"/>
        <v>1</v>
      </c>
      <c r="C2394" s="35">
        <f t="shared" si="98"/>
        <v>0</v>
      </c>
      <c r="D2394" s="212"/>
      <c r="E2394" s="35"/>
      <c r="F2394" s="144"/>
      <c r="G2394" s="191"/>
      <c r="H2394" s="198"/>
      <c r="I2394" s="186"/>
      <c r="J2394" s="186"/>
      <c r="K2394" s="185"/>
      <c r="L2394" s="186"/>
      <c r="M2394" s="36">
        <f t="shared" si="99"/>
        <v>0</v>
      </c>
      <c r="N2394" s="37" t="s">
        <v>1443</v>
      </c>
      <c r="O2394" s="37" t="s">
        <v>8</v>
      </c>
      <c r="P2394" s="47" t="str">
        <f>IF(AND('331-CT'!$F$5=TH!H2394,OR(N2394="331",O2394="331")),"x","")</f>
        <v/>
      </c>
      <c r="Q2394" s="47" t="str">
        <f>IF(AND(B2394='111'!$L$11,OR($N2394=$Q$7,$O2394=$Q$7)),"x","")</f>
        <v/>
      </c>
      <c r="R2394" s="47" t="str">
        <f>IF(AND($N2394=$Q$7,$B2394&lt;'111'!$L$11),"x","")</f>
        <v/>
      </c>
      <c r="S2394" s="47" t="str">
        <f>IF(AND($O2394=$Q$7,$B2394&lt;'111'!$L$11),"x","")</f>
        <v/>
      </c>
    </row>
    <row r="2395" spans="1:19" ht="15.75" customHeight="1">
      <c r="A2395" s="152" t="str">
        <f>IF(B2395&lt;&gt;"",IF(AND(B2395='IN-TC'!$S$4,OR(TH!N2395="1111",TH!O2395="1111")),TH!D2395,""),"")</f>
        <v/>
      </c>
      <c r="B2395" s="34">
        <f t="shared" si="97"/>
        <v>1</v>
      </c>
      <c r="C2395" s="35">
        <f t="shared" si="98"/>
        <v>0</v>
      </c>
      <c r="D2395" s="212"/>
      <c r="E2395" s="35"/>
      <c r="F2395" s="144"/>
      <c r="G2395" s="191"/>
      <c r="H2395" s="198"/>
      <c r="I2395" s="186"/>
      <c r="J2395" s="186"/>
      <c r="K2395" s="185"/>
      <c r="L2395" s="186"/>
      <c r="M2395" s="36">
        <f t="shared" si="99"/>
        <v>0</v>
      </c>
      <c r="N2395" s="37" t="s">
        <v>1443</v>
      </c>
      <c r="O2395" s="37" t="s">
        <v>8</v>
      </c>
      <c r="P2395" s="47" t="str">
        <f>IF(AND('331-CT'!$F$5=TH!H2395,OR(N2395="331",O2395="331")),"x","")</f>
        <v/>
      </c>
      <c r="Q2395" s="47" t="str">
        <f>IF(AND(B2395='111'!$L$11,OR($N2395=$Q$7,$O2395=$Q$7)),"x","")</f>
        <v/>
      </c>
      <c r="R2395" s="47" t="str">
        <f>IF(AND($N2395=$Q$7,$B2395&lt;'111'!$L$11),"x","")</f>
        <v/>
      </c>
      <c r="S2395" s="47" t="str">
        <f>IF(AND($O2395=$Q$7,$B2395&lt;'111'!$L$11),"x","")</f>
        <v/>
      </c>
    </row>
    <row r="2396" spans="1:19" ht="15.75" customHeight="1">
      <c r="A2396" s="152" t="str">
        <f>IF(B2396&lt;&gt;"",IF(AND(B2396='IN-TC'!$S$4,OR(TH!N2396="1111",TH!O2396="1111")),TH!D2396,""),"")</f>
        <v/>
      </c>
      <c r="B2396" s="34">
        <f t="shared" si="97"/>
        <v>1</v>
      </c>
      <c r="C2396" s="35">
        <f t="shared" si="98"/>
        <v>0</v>
      </c>
      <c r="D2396" s="212"/>
      <c r="E2396" s="35"/>
      <c r="F2396" s="144"/>
      <c r="G2396" s="191"/>
      <c r="H2396" s="198"/>
      <c r="I2396" s="186"/>
      <c r="J2396" s="186"/>
      <c r="K2396" s="185"/>
      <c r="L2396" s="186"/>
      <c r="M2396" s="36">
        <f t="shared" si="99"/>
        <v>0</v>
      </c>
      <c r="N2396" s="37" t="s">
        <v>1443</v>
      </c>
      <c r="O2396" s="37" t="s">
        <v>8</v>
      </c>
      <c r="P2396" s="47" t="str">
        <f>IF(AND('331-CT'!$F$5=TH!H2396,OR(N2396="331",O2396="331")),"x","")</f>
        <v/>
      </c>
      <c r="Q2396" s="47" t="str">
        <f>IF(AND(B2396='111'!$L$11,OR($N2396=$Q$7,$O2396=$Q$7)),"x","")</f>
        <v/>
      </c>
      <c r="R2396" s="47" t="str">
        <f>IF(AND($N2396=$Q$7,$B2396&lt;'111'!$L$11),"x","")</f>
        <v/>
      </c>
      <c r="S2396" s="47" t="str">
        <f>IF(AND($O2396=$Q$7,$B2396&lt;'111'!$L$11),"x","")</f>
        <v/>
      </c>
    </row>
    <row r="2397" spans="1:19" ht="15.75" customHeight="1">
      <c r="A2397" s="152" t="str">
        <f>IF(B2397&lt;&gt;"",IF(AND(B2397='IN-TC'!$S$4,OR(TH!N2397="1111",TH!O2397="1111")),TH!D2397,""),"")</f>
        <v/>
      </c>
      <c r="B2397" s="34">
        <f t="shared" si="97"/>
        <v>1</v>
      </c>
      <c r="C2397" s="35">
        <f t="shared" si="98"/>
        <v>0</v>
      </c>
      <c r="D2397" s="212"/>
      <c r="E2397" s="35"/>
      <c r="F2397" s="144"/>
      <c r="G2397" s="191"/>
      <c r="H2397" s="198"/>
      <c r="I2397" s="186"/>
      <c r="J2397" s="186"/>
      <c r="K2397" s="185"/>
      <c r="L2397" s="186"/>
      <c r="M2397" s="36">
        <f t="shared" si="99"/>
        <v>0</v>
      </c>
      <c r="N2397" s="37" t="s">
        <v>1443</v>
      </c>
      <c r="O2397" s="37" t="s">
        <v>8</v>
      </c>
      <c r="P2397" s="47" t="str">
        <f>IF(AND('331-CT'!$F$5=TH!H2397,OR(N2397="331",O2397="331")),"x","")</f>
        <v/>
      </c>
      <c r="Q2397" s="47" t="str">
        <f>IF(AND(B2397='111'!$L$11,OR($N2397=$Q$7,$O2397=$Q$7)),"x","")</f>
        <v/>
      </c>
      <c r="R2397" s="47" t="str">
        <f>IF(AND($N2397=$Q$7,$B2397&lt;'111'!$L$11),"x","")</f>
        <v/>
      </c>
      <c r="S2397" s="47" t="str">
        <f>IF(AND($O2397=$Q$7,$B2397&lt;'111'!$L$11),"x","")</f>
        <v/>
      </c>
    </row>
    <row r="2398" spans="1:19" ht="15.75" customHeight="1">
      <c r="A2398" s="152" t="str">
        <f>IF(B2398&lt;&gt;"",IF(AND(B2398='IN-TC'!$S$4,OR(TH!N2398="1111",TH!O2398="1111")),TH!D2398,""),"")</f>
        <v/>
      </c>
      <c r="B2398" s="34">
        <f t="shared" si="97"/>
        <v>1</v>
      </c>
      <c r="C2398" s="35">
        <f t="shared" si="98"/>
        <v>0</v>
      </c>
      <c r="D2398" s="212"/>
      <c r="E2398" s="35"/>
      <c r="F2398" s="144"/>
      <c r="G2398" s="191"/>
      <c r="H2398" s="198"/>
      <c r="I2398" s="186"/>
      <c r="J2398" s="186"/>
      <c r="K2398" s="185"/>
      <c r="L2398" s="186"/>
      <c r="M2398" s="36">
        <f t="shared" si="99"/>
        <v>0</v>
      </c>
      <c r="N2398" s="37" t="s">
        <v>1443</v>
      </c>
      <c r="O2398" s="37" t="s">
        <v>8</v>
      </c>
      <c r="P2398" s="47" t="str">
        <f>IF(AND('331-CT'!$F$5=TH!H2398,OR(N2398="331",O2398="331")),"x","")</f>
        <v/>
      </c>
      <c r="Q2398" s="47" t="str">
        <f>IF(AND(B2398='111'!$L$11,OR($N2398=$Q$7,$O2398=$Q$7)),"x","")</f>
        <v/>
      </c>
      <c r="R2398" s="47" t="str">
        <f>IF(AND($N2398=$Q$7,$B2398&lt;'111'!$L$11),"x","")</f>
        <v/>
      </c>
      <c r="S2398" s="47" t="str">
        <f>IF(AND($O2398=$Q$7,$B2398&lt;'111'!$L$11),"x","")</f>
        <v/>
      </c>
    </row>
    <row r="2399" spans="1:19" ht="15.75" customHeight="1">
      <c r="A2399" s="152" t="str">
        <f>IF(B2399&lt;&gt;"",IF(AND(B2399='IN-TC'!$S$4,OR(TH!N2399="1111",TH!O2399="1111")),TH!D2399,""),"")</f>
        <v/>
      </c>
      <c r="B2399" s="34">
        <f t="shared" si="97"/>
        <v>1</v>
      </c>
      <c r="C2399" s="35">
        <f t="shared" si="98"/>
        <v>0</v>
      </c>
      <c r="D2399" s="212"/>
      <c r="E2399" s="35"/>
      <c r="F2399" s="144"/>
      <c r="G2399" s="191"/>
      <c r="H2399" s="198"/>
      <c r="I2399" s="186"/>
      <c r="J2399" s="186"/>
      <c r="K2399" s="185"/>
      <c r="L2399" s="186"/>
      <c r="M2399" s="36">
        <f t="shared" si="99"/>
        <v>0</v>
      </c>
      <c r="N2399" s="37" t="s">
        <v>1443</v>
      </c>
      <c r="O2399" s="37" t="s">
        <v>8</v>
      </c>
      <c r="P2399" s="47" t="str">
        <f>IF(AND('331-CT'!$F$5=TH!H2399,OR(N2399="331",O2399="331")),"x","")</f>
        <v/>
      </c>
      <c r="Q2399" s="47" t="str">
        <f>IF(AND(B2399='111'!$L$11,OR($N2399=$Q$7,$O2399=$Q$7)),"x","")</f>
        <v/>
      </c>
      <c r="R2399" s="47" t="str">
        <f>IF(AND($N2399=$Q$7,$B2399&lt;'111'!$L$11),"x","")</f>
        <v/>
      </c>
      <c r="S2399" s="47" t="str">
        <f>IF(AND($O2399=$Q$7,$B2399&lt;'111'!$L$11),"x","")</f>
        <v/>
      </c>
    </row>
    <row r="2400" spans="1:19" ht="15.75" customHeight="1">
      <c r="A2400" s="152" t="str">
        <f>IF(B2400&lt;&gt;"",IF(AND(B2400='IN-TC'!$S$4,OR(TH!N2400="1111",TH!O2400="1111")),TH!D2400,""),"")</f>
        <v/>
      </c>
      <c r="B2400" s="34">
        <f t="shared" si="97"/>
        <v>1</v>
      </c>
      <c r="C2400" s="35">
        <f t="shared" si="98"/>
        <v>0</v>
      </c>
      <c r="D2400" s="212"/>
      <c r="E2400" s="35"/>
      <c r="F2400" s="144"/>
      <c r="G2400" s="191"/>
      <c r="H2400" s="198"/>
      <c r="I2400" s="186"/>
      <c r="J2400" s="186"/>
      <c r="K2400" s="185"/>
      <c r="L2400" s="186"/>
      <c r="M2400" s="36">
        <f t="shared" si="99"/>
        <v>0</v>
      </c>
      <c r="N2400" s="37" t="s">
        <v>1443</v>
      </c>
      <c r="O2400" s="37" t="s">
        <v>8</v>
      </c>
      <c r="P2400" s="47" t="str">
        <f>IF(AND('331-CT'!$F$5=TH!H2400,OR(N2400="331",O2400="331")),"x","")</f>
        <v/>
      </c>
      <c r="Q2400" s="47" t="str">
        <f>IF(AND(B2400='111'!$L$11,OR($N2400=$Q$7,$O2400=$Q$7)),"x","")</f>
        <v/>
      </c>
      <c r="R2400" s="47" t="str">
        <f>IF(AND($N2400=$Q$7,$B2400&lt;'111'!$L$11),"x","")</f>
        <v/>
      </c>
      <c r="S2400" s="47" t="str">
        <f>IF(AND($O2400=$Q$7,$B2400&lt;'111'!$L$11),"x","")</f>
        <v/>
      </c>
    </row>
    <row r="2401" spans="1:19" ht="15.75" customHeight="1">
      <c r="A2401" s="152" t="str">
        <f>IF(B2401&lt;&gt;"",IF(AND(B2401='IN-TC'!$S$4,OR(TH!N2401="1111",TH!O2401="1111")),TH!D2401,""),"")</f>
        <v/>
      </c>
      <c r="B2401" s="34">
        <f t="shared" si="97"/>
        <v>1</v>
      </c>
      <c r="C2401" s="35">
        <f t="shared" si="98"/>
        <v>0</v>
      </c>
      <c r="D2401" s="212"/>
      <c r="E2401" s="35"/>
      <c r="F2401" s="144"/>
      <c r="G2401" s="191"/>
      <c r="H2401" s="198"/>
      <c r="I2401" s="186"/>
      <c r="J2401" s="186"/>
      <c r="K2401" s="185"/>
      <c r="L2401" s="186"/>
      <c r="M2401" s="36">
        <f t="shared" si="99"/>
        <v>0</v>
      </c>
      <c r="N2401" s="37" t="s">
        <v>1443</v>
      </c>
      <c r="O2401" s="37" t="s">
        <v>8</v>
      </c>
      <c r="P2401" s="47" t="str">
        <f>IF(AND('331-CT'!$F$5=TH!H2401,OR(N2401="331",O2401="331")),"x","")</f>
        <v/>
      </c>
      <c r="Q2401" s="47" t="str">
        <f>IF(AND(B2401='111'!$L$11,OR($N2401=$Q$7,$O2401=$Q$7)),"x","")</f>
        <v/>
      </c>
      <c r="R2401" s="47" t="str">
        <f>IF(AND($N2401=$Q$7,$B2401&lt;'111'!$L$11),"x","")</f>
        <v/>
      </c>
      <c r="S2401" s="47" t="str">
        <f>IF(AND($O2401=$Q$7,$B2401&lt;'111'!$L$11),"x","")</f>
        <v/>
      </c>
    </row>
    <row r="2402" spans="1:19" ht="15.75" customHeight="1">
      <c r="A2402" s="152" t="str">
        <f>IF(B2402&lt;&gt;"",IF(AND(B2402='IN-TC'!$S$4,OR(TH!N2402="1111",TH!O2402="1111")),TH!D2402,""),"")</f>
        <v/>
      </c>
      <c r="B2402" s="34">
        <f t="shared" si="97"/>
        <v>1</v>
      </c>
      <c r="C2402" s="35">
        <f t="shared" si="98"/>
        <v>0</v>
      </c>
      <c r="D2402" s="212"/>
      <c r="E2402" s="35"/>
      <c r="F2402" s="144"/>
      <c r="G2402" s="191"/>
      <c r="H2402" s="198"/>
      <c r="I2402" s="186"/>
      <c r="J2402" s="186"/>
      <c r="K2402" s="185"/>
      <c r="L2402" s="186"/>
      <c r="M2402" s="36">
        <f t="shared" si="99"/>
        <v>0</v>
      </c>
      <c r="N2402" s="37" t="s">
        <v>1443</v>
      </c>
      <c r="O2402" s="37" t="s">
        <v>8</v>
      </c>
      <c r="P2402" s="47" t="str">
        <f>IF(AND('331-CT'!$F$5=TH!H2402,OR(N2402="331",O2402="331")),"x","")</f>
        <v/>
      </c>
      <c r="Q2402" s="47" t="str">
        <f>IF(AND(B2402='111'!$L$11,OR($N2402=$Q$7,$O2402=$Q$7)),"x","")</f>
        <v/>
      </c>
      <c r="R2402" s="47" t="str">
        <f>IF(AND($N2402=$Q$7,$B2402&lt;'111'!$L$11),"x","")</f>
        <v/>
      </c>
      <c r="S2402" s="47" t="str">
        <f>IF(AND($O2402=$Q$7,$B2402&lt;'111'!$L$11),"x","")</f>
        <v/>
      </c>
    </row>
    <row r="2403" spans="1:19" ht="15.75" customHeight="1">
      <c r="A2403" s="152" t="str">
        <f>IF(B2403&lt;&gt;"",IF(AND(B2403='IN-TC'!$S$4,OR(TH!N2403="1111",TH!O2403="1111")),TH!D2403,""),"")</f>
        <v/>
      </c>
      <c r="B2403" s="34">
        <f t="shared" ref="B2403:B2430" si="100">IF(C2403&lt;&gt;"",MONTH(C2403),"")</f>
        <v>1</v>
      </c>
      <c r="C2403" s="35">
        <f t="shared" ref="C2403:C2429" si="101">E2403</f>
        <v>0</v>
      </c>
      <c r="D2403" s="212"/>
      <c r="E2403" s="35"/>
      <c r="F2403" s="144"/>
      <c r="G2403" s="191"/>
      <c r="H2403" s="198"/>
      <c r="I2403" s="186"/>
      <c r="J2403" s="186"/>
      <c r="K2403" s="185"/>
      <c r="L2403" s="186"/>
      <c r="M2403" s="36">
        <f t="shared" si="99"/>
        <v>0</v>
      </c>
      <c r="N2403" s="37" t="s">
        <v>1443</v>
      </c>
      <c r="O2403" s="37" t="s">
        <v>8</v>
      </c>
      <c r="P2403" s="47" t="str">
        <f>IF(AND('331-CT'!$F$5=TH!H2403,OR(N2403="331",O2403="331")),"x","")</f>
        <v/>
      </c>
      <c r="Q2403" s="47" t="str">
        <f>IF(AND(B2403='111'!$L$11,OR($N2403=$Q$7,$O2403=$Q$7)),"x","")</f>
        <v/>
      </c>
      <c r="R2403" s="47" t="str">
        <f>IF(AND($N2403=$Q$7,$B2403&lt;'111'!$L$11),"x","")</f>
        <v/>
      </c>
      <c r="S2403" s="47" t="str">
        <f>IF(AND($O2403=$Q$7,$B2403&lt;'111'!$L$11),"x","")</f>
        <v/>
      </c>
    </row>
    <row r="2404" spans="1:19" ht="15.75" customHeight="1">
      <c r="A2404" s="152" t="str">
        <f>IF(B2404&lt;&gt;"",IF(AND(B2404='IN-TC'!$S$4,OR(TH!N2404="1111",TH!O2404="1111")),TH!D2404,""),"")</f>
        <v/>
      </c>
      <c r="B2404" s="34">
        <f t="shared" si="100"/>
        <v>1</v>
      </c>
      <c r="C2404" s="35">
        <f t="shared" si="101"/>
        <v>0</v>
      </c>
      <c r="D2404" s="212"/>
      <c r="E2404" s="35"/>
      <c r="F2404" s="144"/>
      <c r="G2404" s="191"/>
      <c r="H2404" s="198"/>
      <c r="I2404" s="186"/>
      <c r="J2404" s="186"/>
      <c r="K2404" s="185"/>
      <c r="L2404" s="186"/>
      <c r="M2404" s="36">
        <f t="shared" si="99"/>
        <v>0</v>
      </c>
      <c r="N2404" s="37" t="s">
        <v>1443</v>
      </c>
      <c r="O2404" s="37" t="s">
        <v>8</v>
      </c>
      <c r="P2404" s="47" t="str">
        <f>IF(AND('331-CT'!$F$5=TH!H2404,OR(N2404="331",O2404="331")),"x","")</f>
        <v/>
      </c>
      <c r="Q2404" s="47" t="str">
        <f>IF(AND(B2404='111'!$L$11,OR($N2404=$Q$7,$O2404=$Q$7)),"x","")</f>
        <v/>
      </c>
      <c r="R2404" s="47" t="str">
        <f>IF(AND($N2404=$Q$7,$B2404&lt;'111'!$L$11),"x","")</f>
        <v/>
      </c>
      <c r="S2404" s="47" t="str">
        <f>IF(AND($O2404=$Q$7,$B2404&lt;'111'!$L$11),"x","")</f>
        <v/>
      </c>
    </row>
    <row r="2405" spans="1:19" ht="15.75" customHeight="1">
      <c r="A2405" s="152" t="str">
        <f>IF(B2405&lt;&gt;"",IF(AND(B2405='IN-TC'!$S$4,OR(TH!N2405="1111",TH!O2405="1111")),TH!D2405,""),"")</f>
        <v/>
      </c>
      <c r="B2405" s="34">
        <f t="shared" si="100"/>
        <v>1</v>
      </c>
      <c r="C2405" s="35">
        <f t="shared" si="101"/>
        <v>0</v>
      </c>
      <c r="D2405" s="212"/>
      <c r="E2405" s="35"/>
      <c r="F2405" s="144"/>
      <c r="G2405" s="191"/>
      <c r="H2405" s="198"/>
      <c r="I2405" s="186"/>
      <c r="J2405" s="186"/>
      <c r="K2405" s="185"/>
      <c r="L2405" s="186"/>
      <c r="M2405" s="36">
        <f t="shared" si="99"/>
        <v>0</v>
      </c>
      <c r="N2405" s="37" t="s">
        <v>1443</v>
      </c>
      <c r="O2405" s="37" t="s">
        <v>8</v>
      </c>
      <c r="P2405" s="47" t="str">
        <f>IF(AND('331-CT'!$F$5=TH!H2405,OR(N2405="331",O2405="331")),"x","")</f>
        <v/>
      </c>
      <c r="Q2405" s="47" t="str">
        <f>IF(AND(B2405='111'!$L$11,OR($N2405=$Q$7,$O2405=$Q$7)),"x","")</f>
        <v/>
      </c>
      <c r="R2405" s="47" t="str">
        <f>IF(AND($N2405=$Q$7,$B2405&lt;'111'!$L$11),"x","")</f>
        <v/>
      </c>
      <c r="S2405" s="47" t="str">
        <f>IF(AND($O2405=$Q$7,$B2405&lt;'111'!$L$11),"x","")</f>
        <v/>
      </c>
    </row>
    <row r="2406" spans="1:19" ht="15.75" customHeight="1">
      <c r="A2406" s="152" t="str">
        <f>IF(B2406&lt;&gt;"",IF(AND(B2406='IN-TC'!$S$4,OR(TH!N2406="1111",TH!O2406="1111")),TH!D2406,""),"")</f>
        <v/>
      </c>
      <c r="B2406" s="34">
        <f t="shared" si="100"/>
        <v>1</v>
      </c>
      <c r="C2406" s="35">
        <f t="shared" si="101"/>
        <v>0</v>
      </c>
      <c r="D2406" s="212"/>
      <c r="E2406" s="35"/>
      <c r="F2406" s="144"/>
      <c r="G2406" s="191"/>
      <c r="H2406" s="198"/>
      <c r="I2406" s="186"/>
      <c r="J2406" s="186"/>
      <c r="K2406" s="185"/>
      <c r="L2406" s="186"/>
      <c r="M2406" s="36">
        <f t="shared" si="99"/>
        <v>0</v>
      </c>
      <c r="N2406" s="37" t="s">
        <v>1443</v>
      </c>
      <c r="O2406" s="37" t="s">
        <v>8</v>
      </c>
      <c r="P2406" s="47" t="str">
        <f>IF(AND('331-CT'!$F$5=TH!H2406,OR(N2406="331",O2406="331")),"x","")</f>
        <v/>
      </c>
      <c r="Q2406" s="47" t="str">
        <f>IF(AND(B2406='111'!$L$11,OR($N2406=$Q$7,$O2406=$Q$7)),"x","")</f>
        <v/>
      </c>
      <c r="R2406" s="47" t="str">
        <f>IF(AND($N2406=$Q$7,$B2406&lt;'111'!$L$11),"x","")</f>
        <v/>
      </c>
      <c r="S2406" s="47" t="str">
        <f>IF(AND($O2406=$Q$7,$B2406&lt;'111'!$L$11),"x","")</f>
        <v/>
      </c>
    </row>
    <row r="2407" spans="1:19" ht="15.75" customHeight="1">
      <c r="A2407" s="152" t="str">
        <f>IF(B2407&lt;&gt;"",IF(AND(B2407='IN-TC'!$S$4,OR(TH!N2407="1111",TH!O2407="1111")),TH!D2407,""),"")</f>
        <v/>
      </c>
      <c r="B2407" s="34">
        <f t="shared" si="100"/>
        <v>1</v>
      </c>
      <c r="C2407" s="35">
        <f t="shared" si="101"/>
        <v>0</v>
      </c>
      <c r="D2407" s="212"/>
      <c r="E2407" s="35"/>
      <c r="F2407" s="144"/>
      <c r="G2407" s="191"/>
      <c r="H2407" s="198"/>
      <c r="I2407" s="186"/>
      <c r="J2407" s="186"/>
      <c r="K2407" s="185"/>
      <c r="L2407" s="186"/>
      <c r="M2407" s="36">
        <f t="shared" si="99"/>
        <v>0</v>
      </c>
      <c r="N2407" s="37" t="s">
        <v>1443</v>
      </c>
      <c r="O2407" s="37" t="s">
        <v>8</v>
      </c>
      <c r="P2407" s="47" t="str">
        <f>IF(AND('331-CT'!$F$5=TH!H2407,OR(N2407="331",O2407="331")),"x","")</f>
        <v/>
      </c>
      <c r="Q2407" s="47" t="str">
        <f>IF(AND(B2407='111'!$L$11,OR($N2407=$Q$7,$O2407=$Q$7)),"x","")</f>
        <v/>
      </c>
      <c r="R2407" s="47" t="str">
        <f>IF(AND($N2407=$Q$7,$B2407&lt;'111'!$L$11),"x","")</f>
        <v/>
      </c>
      <c r="S2407" s="47" t="str">
        <f>IF(AND($O2407=$Q$7,$B2407&lt;'111'!$L$11),"x","")</f>
        <v/>
      </c>
    </row>
    <row r="2408" spans="1:19" ht="15.75" customHeight="1">
      <c r="A2408" s="152" t="str">
        <f>IF(B2408&lt;&gt;"",IF(AND(B2408='IN-TC'!$S$4,OR(TH!N2408="1111",TH!O2408="1111")),TH!D2408,""),"")</f>
        <v/>
      </c>
      <c r="B2408" s="34">
        <f t="shared" si="100"/>
        <v>1</v>
      </c>
      <c r="C2408" s="35">
        <f t="shared" si="101"/>
        <v>0</v>
      </c>
      <c r="D2408" s="212"/>
      <c r="E2408" s="35"/>
      <c r="F2408" s="144"/>
      <c r="G2408" s="191"/>
      <c r="H2408" s="198"/>
      <c r="I2408" s="186"/>
      <c r="J2408" s="186"/>
      <c r="K2408" s="185"/>
      <c r="L2408" s="186"/>
      <c r="M2408" s="36">
        <f t="shared" si="99"/>
        <v>0</v>
      </c>
      <c r="N2408" s="37" t="s">
        <v>1443</v>
      </c>
      <c r="O2408" s="37" t="s">
        <v>8</v>
      </c>
      <c r="P2408" s="47" t="str">
        <f>IF(AND('331-CT'!$F$5=TH!H2408,OR(N2408="331",O2408="331")),"x","")</f>
        <v/>
      </c>
      <c r="Q2408" s="47" t="str">
        <f>IF(AND(B2408='111'!$L$11,OR($N2408=$Q$7,$O2408=$Q$7)),"x","")</f>
        <v/>
      </c>
      <c r="R2408" s="47" t="str">
        <f>IF(AND($N2408=$Q$7,$B2408&lt;'111'!$L$11),"x","")</f>
        <v/>
      </c>
      <c r="S2408" s="47" t="str">
        <f>IF(AND($O2408=$Q$7,$B2408&lt;'111'!$L$11),"x","")</f>
        <v/>
      </c>
    </row>
    <row r="2409" spans="1:19" ht="15.75" customHeight="1">
      <c r="A2409" s="152" t="str">
        <f>IF(B2409&lt;&gt;"",IF(AND(B2409='IN-TC'!$S$4,OR(TH!N2409="1111",TH!O2409="1111")),TH!D2409,""),"")</f>
        <v/>
      </c>
      <c r="B2409" s="34">
        <f t="shared" si="100"/>
        <v>1</v>
      </c>
      <c r="C2409" s="35">
        <f t="shared" si="101"/>
        <v>0</v>
      </c>
      <c r="D2409" s="212"/>
      <c r="E2409" s="35"/>
      <c r="F2409" s="144"/>
      <c r="G2409" s="191"/>
      <c r="H2409" s="198"/>
      <c r="I2409" s="186"/>
      <c r="J2409" s="186"/>
      <c r="K2409" s="185"/>
      <c r="L2409" s="186"/>
      <c r="M2409" s="36">
        <f t="shared" si="99"/>
        <v>0</v>
      </c>
      <c r="N2409" s="37" t="s">
        <v>1443</v>
      </c>
      <c r="O2409" s="37" t="s">
        <v>8</v>
      </c>
      <c r="P2409" s="47" t="str">
        <f>IF(AND('331-CT'!$F$5=TH!H2409,OR(N2409="331",O2409="331")),"x","")</f>
        <v/>
      </c>
      <c r="Q2409" s="47" t="str">
        <f>IF(AND(B2409='111'!$L$11,OR($N2409=$Q$7,$O2409=$Q$7)),"x","")</f>
        <v/>
      </c>
      <c r="R2409" s="47" t="str">
        <f>IF(AND($N2409=$Q$7,$B2409&lt;'111'!$L$11),"x","")</f>
        <v/>
      </c>
      <c r="S2409" s="47" t="str">
        <f>IF(AND($O2409=$Q$7,$B2409&lt;'111'!$L$11),"x","")</f>
        <v/>
      </c>
    </row>
    <row r="2410" spans="1:19" ht="15.75" customHeight="1">
      <c r="A2410" s="152" t="str">
        <f>IF(B2410&lt;&gt;"",IF(AND(B2410='IN-TC'!$S$4,OR(TH!N2410="1111",TH!O2410="1111")),TH!D2410,""),"")</f>
        <v/>
      </c>
      <c r="B2410" s="34">
        <f t="shared" si="100"/>
        <v>1</v>
      </c>
      <c r="C2410" s="35">
        <f t="shared" si="101"/>
        <v>0</v>
      </c>
      <c r="D2410" s="212"/>
      <c r="E2410" s="35"/>
      <c r="F2410" s="144"/>
      <c r="G2410" s="191"/>
      <c r="H2410" s="198"/>
      <c r="I2410" s="186"/>
      <c r="J2410" s="186"/>
      <c r="K2410" s="185"/>
      <c r="L2410" s="186"/>
      <c r="M2410" s="36">
        <f t="shared" si="99"/>
        <v>0</v>
      </c>
      <c r="N2410" s="37" t="s">
        <v>1443</v>
      </c>
      <c r="O2410" s="37" t="s">
        <v>8</v>
      </c>
      <c r="P2410" s="47" t="str">
        <f>IF(AND('331-CT'!$F$5=TH!H2410,OR(N2410="331",O2410="331")),"x","")</f>
        <v/>
      </c>
      <c r="Q2410" s="47" t="str">
        <f>IF(AND(B2410='111'!$L$11,OR($N2410=$Q$7,$O2410=$Q$7)),"x","")</f>
        <v/>
      </c>
      <c r="R2410" s="47" t="str">
        <f>IF(AND($N2410=$Q$7,$B2410&lt;'111'!$L$11),"x","")</f>
        <v/>
      </c>
      <c r="S2410" s="47" t="str">
        <f>IF(AND($O2410=$Q$7,$B2410&lt;'111'!$L$11),"x","")</f>
        <v/>
      </c>
    </row>
    <row r="2411" spans="1:19" ht="15.75" customHeight="1">
      <c r="A2411" s="152" t="str">
        <f>IF(B2411&lt;&gt;"",IF(AND(B2411='IN-TC'!$S$4,OR(TH!N2411="1111",TH!O2411="1111")),TH!D2411,""),"")</f>
        <v/>
      </c>
      <c r="B2411" s="34">
        <f t="shared" si="100"/>
        <v>1</v>
      </c>
      <c r="C2411" s="35">
        <f t="shared" si="101"/>
        <v>0</v>
      </c>
      <c r="D2411" s="212"/>
      <c r="E2411" s="35"/>
      <c r="F2411" s="144"/>
      <c r="G2411" s="191"/>
      <c r="H2411" s="198"/>
      <c r="I2411" s="186"/>
      <c r="J2411" s="186"/>
      <c r="K2411" s="185"/>
      <c r="L2411" s="186"/>
      <c r="M2411" s="36">
        <f t="shared" si="99"/>
        <v>0</v>
      </c>
      <c r="N2411" s="37" t="s">
        <v>1443</v>
      </c>
      <c r="O2411" s="37" t="s">
        <v>8</v>
      </c>
      <c r="P2411" s="47" t="str">
        <f>IF(AND('331-CT'!$F$5=TH!H2411,OR(N2411="331",O2411="331")),"x","")</f>
        <v/>
      </c>
      <c r="Q2411" s="47" t="str">
        <f>IF(AND(B2411='111'!$L$11,OR($N2411=$Q$7,$O2411=$Q$7)),"x","")</f>
        <v/>
      </c>
      <c r="R2411" s="47" t="str">
        <f>IF(AND($N2411=$Q$7,$B2411&lt;'111'!$L$11),"x","")</f>
        <v/>
      </c>
      <c r="S2411" s="47" t="str">
        <f>IF(AND($O2411=$Q$7,$B2411&lt;'111'!$L$11),"x","")</f>
        <v/>
      </c>
    </row>
    <row r="2412" spans="1:19" ht="15.75" customHeight="1">
      <c r="A2412" s="152" t="str">
        <f>IF(B2412&lt;&gt;"",IF(AND(B2412='IN-TC'!$S$4,OR(TH!N2412="1111",TH!O2412="1111")),TH!D2412,""),"")</f>
        <v/>
      </c>
      <c r="B2412" s="34">
        <f t="shared" si="100"/>
        <v>1</v>
      </c>
      <c r="C2412" s="35">
        <f t="shared" si="101"/>
        <v>0</v>
      </c>
      <c r="D2412" s="212"/>
      <c r="E2412" s="35"/>
      <c r="F2412" s="144"/>
      <c r="G2412" s="191"/>
      <c r="H2412" s="198"/>
      <c r="I2412" s="186"/>
      <c r="J2412" s="186"/>
      <c r="K2412" s="185"/>
      <c r="L2412" s="186"/>
      <c r="M2412" s="36">
        <f t="shared" si="99"/>
        <v>0</v>
      </c>
      <c r="N2412" s="37" t="s">
        <v>1443</v>
      </c>
      <c r="O2412" s="37" t="s">
        <v>8</v>
      </c>
      <c r="P2412" s="47" t="str">
        <f>IF(AND('331-CT'!$F$5=TH!H2412,OR(N2412="331",O2412="331")),"x","")</f>
        <v/>
      </c>
      <c r="Q2412" s="47" t="str">
        <f>IF(AND(B2412='111'!$L$11,OR($N2412=$Q$7,$O2412=$Q$7)),"x","")</f>
        <v/>
      </c>
      <c r="R2412" s="47" t="str">
        <f>IF(AND($N2412=$Q$7,$B2412&lt;'111'!$L$11),"x","")</f>
        <v/>
      </c>
      <c r="S2412" s="47" t="str">
        <f>IF(AND($O2412=$Q$7,$B2412&lt;'111'!$L$11),"x","")</f>
        <v/>
      </c>
    </row>
    <row r="2413" spans="1:19" ht="15.75" customHeight="1">
      <c r="A2413" s="152" t="str">
        <f>IF(B2413&lt;&gt;"",IF(AND(B2413='IN-TC'!$S$4,OR(TH!N2413="1111",TH!O2413="1111")),TH!D2413,""),"")</f>
        <v/>
      </c>
      <c r="B2413" s="34">
        <f t="shared" si="100"/>
        <v>1</v>
      </c>
      <c r="C2413" s="35">
        <f t="shared" si="101"/>
        <v>0</v>
      </c>
      <c r="D2413" s="212"/>
      <c r="E2413" s="35"/>
      <c r="F2413" s="144"/>
      <c r="G2413" s="191"/>
      <c r="H2413" s="198"/>
      <c r="I2413" s="186"/>
      <c r="J2413" s="186"/>
      <c r="K2413" s="185"/>
      <c r="L2413" s="186"/>
      <c r="M2413" s="36">
        <f t="shared" si="99"/>
        <v>0</v>
      </c>
      <c r="N2413" s="37" t="s">
        <v>1443</v>
      </c>
      <c r="O2413" s="37" t="s">
        <v>8</v>
      </c>
      <c r="P2413" s="47" t="str">
        <f>IF(AND('331-CT'!$F$5=TH!H2413,OR(N2413="331",O2413="331")),"x","")</f>
        <v/>
      </c>
      <c r="Q2413" s="47" t="str">
        <f>IF(AND(B2413='111'!$L$11,OR($N2413=$Q$7,$O2413=$Q$7)),"x","")</f>
        <v/>
      </c>
      <c r="R2413" s="47" t="str">
        <f>IF(AND($N2413=$Q$7,$B2413&lt;'111'!$L$11),"x","")</f>
        <v/>
      </c>
      <c r="S2413" s="47" t="str">
        <f>IF(AND($O2413=$Q$7,$B2413&lt;'111'!$L$11),"x","")</f>
        <v/>
      </c>
    </row>
    <row r="2414" spans="1:19" ht="15.75" customHeight="1">
      <c r="A2414" s="152" t="str">
        <f>IF(B2414&lt;&gt;"",IF(AND(B2414='IN-TC'!$S$4,OR(TH!N2414="1111",TH!O2414="1111")),TH!D2414,""),"")</f>
        <v/>
      </c>
      <c r="B2414" s="34">
        <f t="shared" si="100"/>
        <v>1</v>
      </c>
      <c r="C2414" s="35">
        <f t="shared" si="101"/>
        <v>0</v>
      </c>
      <c r="D2414" s="212"/>
      <c r="E2414" s="35"/>
      <c r="F2414" s="144"/>
      <c r="G2414" s="191"/>
      <c r="H2414" s="198"/>
      <c r="I2414" s="186"/>
      <c r="J2414" s="186"/>
      <c r="K2414" s="185"/>
      <c r="L2414" s="186"/>
      <c r="M2414" s="36">
        <f t="shared" si="99"/>
        <v>0</v>
      </c>
      <c r="N2414" s="37" t="s">
        <v>1443</v>
      </c>
      <c r="O2414" s="37" t="s">
        <v>8</v>
      </c>
      <c r="P2414" s="47" t="str">
        <f>IF(AND('331-CT'!$F$5=TH!H2414,OR(N2414="331",O2414="331")),"x","")</f>
        <v/>
      </c>
      <c r="Q2414" s="47" t="str">
        <f>IF(AND(B2414='111'!$L$11,OR($N2414=$Q$7,$O2414=$Q$7)),"x","")</f>
        <v/>
      </c>
      <c r="R2414" s="47" t="str">
        <f>IF(AND($N2414=$Q$7,$B2414&lt;'111'!$L$11),"x","")</f>
        <v/>
      </c>
      <c r="S2414" s="47" t="str">
        <f>IF(AND($O2414=$Q$7,$B2414&lt;'111'!$L$11),"x","")</f>
        <v/>
      </c>
    </row>
    <row r="2415" spans="1:19" ht="15.75" customHeight="1">
      <c r="A2415" s="152" t="str">
        <f>IF(B2415&lt;&gt;"",IF(AND(B2415='IN-TC'!$S$4,OR(TH!N2415="1111",TH!O2415="1111")),TH!D2415,""),"")</f>
        <v/>
      </c>
      <c r="B2415" s="34">
        <f t="shared" si="100"/>
        <v>1</v>
      </c>
      <c r="C2415" s="35">
        <f t="shared" si="101"/>
        <v>0</v>
      </c>
      <c r="D2415" s="212"/>
      <c r="E2415" s="35"/>
      <c r="F2415" s="144"/>
      <c r="G2415" s="191"/>
      <c r="H2415" s="198"/>
      <c r="I2415" s="186"/>
      <c r="J2415" s="186"/>
      <c r="K2415" s="185"/>
      <c r="L2415" s="186"/>
      <c r="M2415" s="36">
        <f t="shared" si="99"/>
        <v>0</v>
      </c>
      <c r="N2415" s="37" t="s">
        <v>1443</v>
      </c>
      <c r="O2415" s="37" t="s">
        <v>8</v>
      </c>
      <c r="P2415" s="47" t="str">
        <f>IF(AND('331-CT'!$F$5=TH!H2415,OR(N2415="331",O2415="331")),"x","")</f>
        <v/>
      </c>
      <c r="Q2415" s="47" t="str">
        <f>IF(AND(B2415='111'!$L$11,OR($N2415=$Q$7,$O2415=$Q$7)),"x","")</f>
        <v/>
      </c>
      <c r="R2415" s="47" t="str">
        <f>IF(AND($N2415=$Q$7,$B2415&lt;'111'!$L$11),"x","")</f>
        <v/>
      </c>
      <c r="S2415" s="47" t="str">
        <f>IF(AND($O2415=$Q$7,$B2415&lt;'111'!$L$11),"x","")</f>
        <v/>
      </c>
    </row>
    <row r="2416" spans="1:19" ht="15.75" customHeight="1">
      <c r="A2416" s="152" t="str">
        <f>IF(B2416&lt;&gt;"",IF(AND(B2416='IN-TC'!$S$4,OR(TH!N2416="1111",TH!O2416="1111")),TH!D2416,""),"")</f>
        <v/>
      </c>
      <c r="B2416" s="34">
        <f t="shared" si="100"/>
        <v>1</v>
      </c>
      <c r="C2416" s="35">
        <f t="shared" si="101"/>
        <v>0</v>
      </c>
      <c r="D2416" s="212"/>
      <c r="E2416" s="35"/>
      <c r="F2416" s="144"/>
      <c r="G2416" s="191"/>
      <c r="H2416" s="198"/>
      <c r="I2416" s="186"/>
      <c r="J2416" s="186"/>
      <c r="K2416" s="185"/>
      <c r="L2416" s="186"/>
      <c r="M2416" s="36">
        <f t="shared" si="99"/>
        <v>0</v>
      </c>
      <c r="N2416" s="37" t="s">
        <v>1443</v>
      </c>
      <c r="O2416" s="37" t="s">
        <v>8</v>
      </c>
      <c r="P2416" s="47" t="str">
        <f>IF(AND('331-CT'!$F$5=TH!H2416,OR(N2416="331",O2416="331")),"x","")</f>
        <v/>
      </c>
      <c r="Q2416" s="47" t="str">
        <f>IF(AND(B2416='111'!$L$11,OR($N2416=$Q$7,$O2416=$Q$7)),"x","")</f>
        <v/>
      </c>
      <c r="R2416" s="47" t="str">
        <f>IF(AND($N2416=$Q$7,$B2416&lt;'111'!$L$11),"x","")</f>
        <v/>
      </c>
      <c r="S2416" s="47" t="str">
        <f>IF(AND($O2416=$Q$7,$B2416&lt;'111'!$L$11),"x","")</f>
        <v/>
      </c>
    </row>
    <row r="2417" spans="1:19" ht="15.75" customHeight="1">
      <c r="A2417" s="152" t="str">
        <f>IF(B2417&lt;&gt;"",IF(AND(B2417='IN-TC'!$S$4,OR(TH!N2417="1111",TH!O2417="1111")),TH!D2417,""),"")</f>
        <v/>
      </c>
      <c r="B2417" s="34">
        <f t="shared" si="100"/>
        <v>1</v>
      </c>
      <c r="C2417" s="35">
        <f t="shared" si="101"/>
        <v>0</v>
      </c>
      <c r="D2417" s="212"/>
      <c r="E2417" s="35"/>
      <c r="F2417" s="144"/>
      <c r="G2417" s="191"/>
      <c r="H2417" s="198"/>
      <c r="I2417" s="186"/>
      <c r="J2417" s="186"/>
      <c r="K2417" s="185"/>
      <c r="L2417" s="186"/>
      <c r="M2417" s="36">
        <f t="shared" si="99"/>
        <v>0</v>
      </c>
      <c r="N2417" s="37" t="s">
        <v>1443</v>
      </c>
      <c r="O2417" s="37" t="s">
        <v>8</v>
      </c>
      <c r="P2417" s="47" t="str">
        <f>IF(AND('331-CT'!$F$5=TH!H2417,OR(N2417="331",O2417="331")),"x","")</f>
        <v/>
      </c>
      <c r="Q2417" s="47" t="str">
        <f>IF(AND(B2417='111'!$L$11,OR($N2417=$Q$7,$O2417=$Q$7)),"x","")</f>
        <v/>
      </c>
      <c r="R2417" s="47" t="str">
        <f>IF(AND($N2417=$Q$7,$B2417&lt;'111'!$L$11),"x","")</f>
        <v/>
      </c>
      <c r="S2417" s="47" t="str">
        <f>IF(AND($O2417=$Q$7,$B2417&lt;'111'!$L$11),"x","")</f>
        <v/>
      </c>
    </row>
    <row r="2418" spans="1:19" ht="15.75" customHeight="1">
      <c r="A2418" s="152" t="str">
        <f>IF(B2418&lt;&gt;"",IF(AND(B2418='IN-TC'!$S$4,OR(TH!N2418="1111",TH!O2418="1111")),TH!D2418,""),"")</f>
        <v/>
      </c>
      <c r="B2418" s="34">
        <f t="shared" si="100"/>
        <v>1</v>
      </c>
      <c r="C2418" s="35">
        <f t="shared" si="101"/>
        <v>0</v>
      </c>
      <c r="D2418" s="212"/>
      <c r="E2418" s="35"/>
      <c r="F2418" s="144"/>
      <c r="G2418" s="191"/>
      <c r="H2418" s="198"/>
      <c r="I2418" s="186"/>
      <c r="J2418" s="186"/>
      <c r="K2418" s="185"/>
      <c r="L2418" s="186"/>
      <c r="M2418" s="36">
        <f t="shared" si="99"/>
        <v>0</v>
      </c>
      <c r="N2418" s="37" t="s">
        <v>1443</v>
      </c>
      <c r="O2418" s="37" t="s">
        <v>8</v>
      </c>
      <c r="P2418" s="47" t="str">
        <f>IF(AND('331-CT'!$F$5=TH!H2418,OR(N2418="331",O2418="331")),"x","")</f>
        <v/>
      </c>
      <c r="Q2418" s="47" t="str">
        <f>IF(AND(B2418='111'!$L$11,OR($N2418=$Q$7,$O2418=$Q$7)),"x","")</f>
        <v/>
      </c>
      <c r="R2418" s="47" t="str">
        <f>IF(AND($N2418=$Q$7,$B2418&lt;'111'!$L$11),"x","")</f>
        <v/>
      </c>
      <c r="S2418" s="47" t="str">
        <f>IF(AND($O2418=$Q$7,$B2418&lt;'111'!$L$11),"x","")</f>
        <v/>
      </c>
    </row>
    <row r="2419" spans="1:19" ht="15.75" customHeight="1">
      <c r="A2419" s="152" t="str">
        <f>IF(B2419&lt;&gt;"",IF(AND(B2419='IN-TC'!$S$4,OR(TH!N2419="1111",TH!O2419="1111")),TH!D2419,""),"")</f>
        <v/>
      </c>
      <c r="B2419" s="34">
        <f t="shared" si="100"/>
        <v>1</v>
      </c>
      <c r="C2419" s="35">
        <f t="shared" si="101"/>
        <v>0</v>
      </c>
      <c r="D2419" s="212"/>
      <c r="E2419" s="35"/>
      <c r="F2419" s="144"/>
      <c r="G2419" s="191"/>
      <c r="H2419" s="198"/>
      <c r="I2419" s="186"/>
      <c r="J2419" s="186"/>
      <c r="K2419" s="185"/>
      <c r="L2419" s="186"/>
      <c r="M2419" s="36">
        <f t="shared" si="99"/>
        <v>0</v>
      </c>
      <c r="N2419" s="37" t="s">
        <v>1443</v>
      </c>
      <c r="O2419" s="37" t="s">
        <v>8</v>
      </c>
      <c r="P2419" s="47" t="str">
        <f>IF(AND('331-CT'!$F$5=TH!H2419,OR(N2419="331",O2419="331")),"x","")</f>
        <v/>
      </c>
      <c r="Q2419" s="47" t="str">
        <f>IF(AND(B2419='111'!$L$11,OR($N2419=$Q$7,$O2419=$Q$7)),"x","")</f>
        <v/>
      </c>
      <c r="R2419" s="47" t="str">
        <f>IF(AND($N2419=$Q$7,$B2419&lt;'111'!$L$11),"x","")</f>
        <v/>
      </c>
      <c r="S2419" s="47" t="str">
        <f>IF(AND($O2419=$Q$7,$B2419&lt;'111'!$L$11),"x","")</f>
        <v/>
      </c>
    </row>
    <row r="2420" spans="1:19" ht="15.75" customHeight="1">
      <c r="A2420" s="152" t="str">
        <f>IF(B2420&lt;&gt;"",IF(AND(B2420='IN-TC'!$S$4,OR(TH!N2420="1111",TH!O2420="1111")),TH!D2420,""),"")</f>
        <v/>
      </c>
      <c r="B2420" s="34">
        <f t="shared" si="100"/>
        <v>1</v>
      </c>
      <c r="C2420" s="35">
        <f t="shared" si="101"/>
        <v>0</v>
      </c>
      <c r="D2420" s="212"/>
      <c r="E2420" s="35"/>
      <c r="F2420" s="144"/>
      <c r="G2420" s="191"/>
      <c r="H2420" s="198"/>
      <c r="I2420" s="186"/>
      <c r="J2420" s="186"/>
      <c r="K2420" s="185"/>
      <c r="L2420" s="186"/>
      <c r="M2420" s="36">
        <f t="shared" si="99"/>
        <v>0</v>
      </c>
      <c r="N2420" s="37" t="s">
        <v>1443</v>
      </c>
      <c r="O2420" s="37" t="s">
        <v>8</v>
      </c>
      <c r="P2420" s="47" t="str">
        <f>IF(AND('331-CT'!$F$5=TH!H2420,OR(N2420="331",O2420="331")),"x","")</f>
        <v/>
      </c>
      <c r="Q2420" s="47" t="str">
        <f>IF(AND(B2420='111'!$L$11,OR($N2420=$Q$7,$O2420=$Q$7)),"x","")</f>
        <v/>
      </c>
      <c r="R2420" s="47" t="str">
        <f>IF(AND($N2420=$Q$7,$B2420&lt;'111'!$L$11),"x","")</f>
        <v/>
      </c>
      <c r="S2420" s="47" t="str">
        <f>IF(AND($O2420=$Q$7,$B2420&lt;'111'!$L$11),"x","")</f>
        <v/>
      </c>
    </row>
    <row r="2421" spans="1:19" ht="15.75" customHeight="1">
      <c r="A2421" s="152" t="str">
        <f>IF(B2421&lt;&gt;"",IF(AND(B2421='IN-TC'!$S$4,OR(TH!N2421="1111",TH!O2421="1111")),TH!D2421,""),"")</f>
        <v/>
      </c>
      <c r="B2421" s="34">
        <f t="shared" si="100"/>
        <v>1</v>
      </c>
      <c r="C2421" s="35">
        <f t="shared" si="101"/>
        <v>0</v>
      </c>
      <c r="D2421" s="212"/>
      <c r="E2421" s="35"/>
      <c r="F2421" s="144"/>
      <c r="G2421" s="191"/>
      <c r="H2421" s="198"/>
      <c r="I2421" s="186"/>
      <c r="J2421" s="186"/>
      <c r="K2421" s="185"/>
      <c r="L2421" s="186"/>
      <c r="M2421" s="36">
        <f t="shared" si="99"/>
        <v>0</v>
      </c>
      <c r="N2421" s="37" t="s">
        <v>1443</v>
      </c>
      <c r="O2421" s="37" t="s">
        <v>8</v>
      </c>
      <c r="P2421" s="47" t="str">
        <f>IF(AND('331-CT'!$F$5=TH!H2421,OR(N2421="331",O2421="331")),"x","")</f>
        <v/>
      </c>
      <c r="Q2421" s="47" t="str">
        <f>IF(AND(B2421='111'!$L$11,OR($N2421=$Q$7,$O2421=$Q$7)),"x","")</f>
        <v/>
      </c>
      <c r="R2421" s="47" t="str">
        <f>IF(AND($N2421=$Q$7,$B2421&lt;'111'!$L$11),"x","")</f>
        <v/>
      </c>
      <c r="S2421" s="47" t="str">
        <f>IF(AND($O2421=$Q$7,$B2421&lt;'111'!$L$11),"x","")</f>
        <v/>
      </c>
    </row>
    <row r="2422" spans="1:19" ht="15.75" customHeight="1">
      <c r="A2422" s="152" t="str">
        <f>IF(B2422&lt;&gt;"",IF(AND(B2422='IN-TC'!$S$4,OR(TH!N2422="1111",TH!O2422="1111")),TH!D2422,""),"")</f>
        <v/>
      </c>
      <c r="B2422" s="34">
        <f t="shared" si="100"/>
        <v>1</v>
      </c>
      <c r="C2422" s="35">
        <f t="shared" si="101"/>
        <v>0</v>
      </c>
      <c r="D2422" s="212"/>
      <c r="E2422" s="35"/>
      <c r="F2422" s="144"/>
      <c r="G2422" s="191"/>
      <c r="H2422" s="198"/>
      <c r="I2422" s="186"/>
      <c r="J2422" s="186"/>
      <c r="K2422" s="185"/>
      <c r="L2422" s="186"/>
      <c r="M2422" s="36">
        <f t="shared" si="99"/>
        <v>0</v>
      </c>
      <c r="N2422" s="37" t="s">
        <v>1443</v>
      </c>
      <c r="O2422" s="37" t="s">
        <v>8</v>
      </c>
      <c r="P2422" s="47" t="str">
        <f>IF(AND('331-CT'!$F$5=TH!H2422,OR(N2422="331",O2422="331")),"x","")</f>
        <v/>
      </c>
      <c r="Q2422" s="47" t="str">
        <f>IF(AND(B2422='111'!$L$11,OR($N2422=$Q$7,$O2422=$Q$7)),"x","")</f>
        <v/>
      </c>
      <c r="R2422" s="47" t="str">
        <f>IF(AND($N2422=$Q$7,$B2422&lt;'111'!$L$11),"x","")</f>
        <v/>
      </c>
      <c r="S2422" s="47" t="str">
        <f>IF(AND($O2422=$Q$7,$B2422&lt;'111'!$L$11),"x","")</f>
        <v/>
      </c>
    </row>
    <row r="2423" spans="1:19" ht="15.75" customHeight="1">
      <c r="A2423" s="152" t="str">
        <f>IF(B2423&lt;&gt;"",IF(AND(B2423='IN-TC'!$S$4,OR(TH!N2423="1111",TH!O2423="1111")),TH!D2423,""),"")</f>
        <v/>
      </c>
      <c r="B2423" s="34">
        <f t="shared" si="100"/>
        <v>1</v>
      </c>
      <c r="C2423" s="35">
        <f t="shared" si="101"/>
        <v>0</v>
      </c>
      <c r="D2423" s="212"/>
      <c r="E2423" s="35"/>
      <c r="F2423" s="144"/>
      <c r="G2423" s="191"/>
      <c r="H2423" s="198"/>
      <c r="I2423" s="186"/>
      <c r="J2423" s="186"/>
      <c r="K2423" s="185"/>
      <c r="L2423" s="186"/>
      <c r="M2423" s="36">
        <f t="shared" si="99"/>
        <v>0</v>
      </c>
      <c r="N2423" s="37" t="s">
        <v>1443</v>
      </c>
      <c r="O2423" s="37" t="s">
        <v>8</v>
      </c>
      <c r="P2423" s="47" t="str">
        <f>IF(AND('331-CT'!$F$5=TH!H2423,OR(N2423="331",O2423="331")),"x","")</f>
        <v/>
      </c>
      <c r="Q2423" s="47" t="str">
        <f>IF(AND(B2423='111'!$L$11,OR($N2423=$Q$7,$O2423=$Q$7)),"x","")</f>
        <v/>
      </c>
      <c r="R2423" s="47" t="str">
        <f>IF(AND($N2423=$Q$7,$B2423&lt;'111'!$L$11),"x","")</f>
        <v/>
      </c>
      <c r="S2423" s="47" t="str">
        <f>IF(AND($O2423=$Q$7,$B2423&lt;'111'!$L$11),"x","")</f>
        <v/>
      </c>
    </row>
    <row r="2424" spans="1:19" ht="15.75" customHeight="1">
      <c r="A2424" s="152" t="str">
        <f>IF(B2424&lt;&gt;"",IF(AND(B2424='IN-TC'!$S$4,OR(TH!N2424="1111",TH!O2424="1111")),TH!D2424,""),"")</f>
        <v/>
      </c>
      <c r="B2424" s="34">
        <f t="shared" si="100"/>
        <v>1</v>
      </c>
      <c r="C2424" s="35">
        <f t="shared" si="101"/>
        <v>0</v>
      </c>
      <c r="D2424" s="212"/>
      <c r="E2424" s="35"/>
      <c r="F2424" s="144"/>
      <c r="G2424" s="191"/>
      <c r="H2424" s="198"/>
      <c r="I2424" s="186"/>
      <c r="J2424" s="186"/>
      <c r="K2424" s="185"/>
      <c r="L2424" s="186"/>
      <c r="M2424" s="36">
        <f t="shared" si="99"/>
        <v>0</v>
      </c>
      <c r="N2424" s="37" t="s">
        <v>1443</v>
      </c>
      <c r="O2424" s="37" t="s">
        <v>8</v>
      </c>
      <c r="P2424" s="47" t="str">
        <f>IF(AND('331-CT'!$F$5=TH!H2424,OR(N2424="331",O2424="331")),"x","")</f>
        <v/>
      </c>
      <c r="Q2424" s="47" t="str">
        <f>IF(AND(B2424='111'!$L$11,OR($N2424=$Q$7,$O2424=$Q$7)),"x","")</f>
        <v/>
      </c>
      <c r="R2424" s="47" t="str">
        <f>IF(AND($N2424=$Q$7,$B2424&lt;'111'!$L$11),"x","")</f>
        <v/>
      </c>
      <c r="S2424" s="47" t="str">
        <f>IF(AND($O2424=$Q$7,$B2424&lt;'111'!$L$11),"x","")</f>
        <v/>
      </c>
    </row>
    <row r="2425" spans="1:19" ht="15.75" customHeight="1">
      <c r="A2425" s="152" t="str">
        <f>IF(B2425&lt;&gt;"",IF(AND(B2425='IN-TC'!$S$4,OR(TH!N2425="1111",TH!O2425="1111")),TH!D2425,""),"")</f>
        <v/>
      </c>
      <c r="B2425" s="34">
        <f t="shared" si="100"/>
        <v>1</v>
      </c>
      <c r="C2425" s="35">
        <f t="shared" si="101"/>
        <v>0</v>
      </c>
      <c r="D2425" s="212"/>
      <c r="E2425" s="35"/>
      <c r="F2425" s="144"/>
      <c r="G2425" s="191"/>
      <c r="H2425" s="198"/>
      <c r="I2425" s="186"/>
      <c r="J2425" s="186"/>
      <c r="K2425" s="185"/>
      <c r="L2425" s="186"/>
      <c r="M2425" s="36">
        <f t="shared" si="99"/>
        <v>0</v>
      </c>
      <c r="N2425" s="37" t="s">
        <v>1443</v>
      </c>
      <c r="O2425" s="37" t="s">
        <v>8</v>
      </c>
      <c r="P2425" s="47" t="str">
        <f>IF(AND('331-CT'!$F$5=TH!H2425,OR(N2425="331",O2425="331")),"x","")</f>
        <v/>
      </c>
      <c r="Q2425" s="47" t="str">
        <f>IF(AND(B2425='111'!$L$11,OR($N2425=$Q$7,$O2425=$Q$7)),"x","")</f>
        <v/>
      </c>
      <c r="R2425" s="47" t="str">
        <f>IF(AND($N2425=$Q$7,$B2425&lt;'111'!$L$11),"x","")</f>
        <v/>
      </c>
      <c r="S2425" s="47" t="str">
        <f>IF(AND($O2425=$Q$7,$B2425&lt;'111'!$L$11),"x","")</f>
        <v/>
      </c>
    </row>
    <row r="2426" spans="1:19" ht="15.75" customHeight="1">
      <c r="A2426" s="152" t="str">
        <f>IF(B2426&lt;&gt;"",IF(AND(B2426='IN-TC'!$S$4,OR(TH!N2426="1111",TH!O2426="1111")),TH!D2426,""),"")</f>
        <v/>
      </c>
      <c r="B2426" s="34">
        <f t="shared" si="100"/>
        <v>1</v>
      </c>
      <c r="C2426" s="35">
        <f t="shared" si="101"/>
        <v>0</v>
      </c>
      <c r="D2426" s="212"/>
      <c r="E2426" s="35"/>
      <c r="F2426" s="144"/>
      <c r="G2426" s="191"/>
      <c r="H2426" s="198"/>
      <c r="I2426" s="186"/>
      <c r="J2426" s="186"/>
      <c r="K2426" s="185"/>
      <c r="L2426" s="186"/>
      <c r="M2426" s="36">
        <f t="shared" si="99"/>
        <v>0</v>
      </c>
      <c r="N2426" s="37" t="s">
        <v>1443</v>
      </c>
      <c r="O2426" s="37" t="s">
        <v>8</v>
      </c>
      <c r="P2426" s="47" t="str">
        <f>IF(AND('331-CT'!$F$5=TH!H2426,OR(N2426="331",O2426="331")),"x","")</f>
        <v/>
      </c>
      <c r="Q2426" s="47" t="str">
        <f>IF(AND(B2426='111'!$L$11,OR($N2426=$Q$7,$O2426=$Q$7)),"x","")</f>
        <v/>
      </c>
      <c r="R2426" s="47" t="str">
        <f>IF(AND($N2426=$Q$7,$B2426&lt;'111'!$L$11),"x","")</f>
        <v/>
      </c>
      <c r="S2426" s="47" t="str">
        <f>IF(AND($O2426=$Q$7,$B2426&lt;'111'!$L$11),"x","")</f>
        <v/>
      </c>
    </row>
    <row r="2427" spans="1:19" ht="15.75" customHeight="1">
      <c r="A2427" s="152" t="str">
        <f>IF(B2427&lt;&gt;"",IF(AND(B2427='IN-TC'!$S$4,OR(TH!N2427="1111",TH!O2427="1111")),TH!D2427,""),"")</f>
        <v/>
      </c>
      <c r="B2427" s="34">
        <f t="shared" si="100"/>
        <v>1</v>
      </c>
      <c r="C2427" s="35">
        <f t="shared" si="101"/>
        <v>0</v>
      </c>
      <c r="D2427" s="212"/>
      <c r="E2427" s="35"/>
      <c r="F2427" s="144"/>
      <c r="G2427" s="191"/>
      <c r="H2427" s="198"/>
      <c r="I2427" s="186"/>
      <c r="J2427" s="186"/>
      <c r="K2427" s="185"/>
      <c r="L2427" s="186"/>
      <c r="M2427" s="36">
        <f t="shared" si="99"/>
        <v>0</v>
      </c>
      <c r="N2427" s="37" t="s">
        <v>1443</v>
      </c>
      <c r="O2427" s="37" t="s">
        <v>8</v>
      </c>
      <c r="P2427" s="47" t="str">
        <f>IF(AND('331-CT'!$F$5=TH!H2427,OR(N2427="331",O2427="331")),"x","")</f>
        <v/>
      </c>
      <c r="Q2427" s="47" t="str">
        <f>IF(AND(B2427='111'!$L$11,OR($N2427=$Q$7,$O2427=$Q$7)),"x","")</f>
        <v/>
      </c>
      <c r="R2427" s="47" t="str">
        <f>IF(AND($N2427=$Q$7,$B2427&lt;'111'!$L$11),"x","")</f>
        <v/>
      </c>
      <c r="S2427" s="47" t="str">
        <f>IF(AND($O2427=$Q$7,$B2427&lt;'111'!$L$11),"x","")</f>
        <v/>
      </c>
    </row>
    <row r="2428" spans="1:19" ht="15.75" customHeight="1">
      <c r="A2428" s="152" t="str">
        <f>IF(B2428&lt;&gt;"",IF(AND(B2428='IN-TC'!$S$4,OR(TH!N2428="1111",TH!O2428="1111")),TH!D2428,""),"")</f>
        <v/>
      </c>
      <c r="B2428" s="34">
        <f t="shared" si="100"/>
        <v>1</v>
      </c>
      <c r="C2428" s="35">
        <f t="shared" si="101"/>
        <v>0</v>
      </c>
      <c r="D2428" s="212"/>
      <c r="E2428" s="35"/>
      <c r="F2428" s="144"/>
      <c r="G2428" s="191"/>
      <c r="H2428" s="198"/>
      <c r="I2428" s="186"/>
      <c r="J2428" s="186"/>
      <c r="K2428" s="185"/>
      <c r="L2428" s="186"/>
      <c r="M2428" s="36">
        <f t="shared" si="99"/>
        <v>0</v>
      </c>
      <c r="N2428" s="37" t="s">
        <v>1443</v>
      </c>
      <c r="O2428" s="37" t="s">
        <v>8</v>
      </c>
      <c r="P2428" s="47" t="str">
        <f>IF(AND('331-CT'!$F$5=TH!H2428,OR(N2428="331",O2428="331")),"x","")</f>
        <v/>
      </c>
      <c r="Q2428" s="47" t="str">
        <f>IF(AND(B2428='111'!$L$11,OR($N2428=$Q$7,$O2428=$Q$7)),"x","")</f>
        <v/>
      </c>
      <c r="R2428" s="47" t="str">
        <f>IF(AND($N2428=$Q$7,$B2428&lt;'111'!$L$11),"x","")</f>
        <v/>
      </c>
      <c r="S2428" s="47" t="str">
        <f>IF(AND($O2428=$Q$7,$B2428&lt;'111'!$L$11),"x","")</f>
        <v/>
      </c>
    </row>
    <row r="2429" spans="1:19" ht="15.75" customHeight="1">
      <c r="A2429" s="152" t="str">
        <f>IF(B2429&lt;&gt;"",IF(AND(B2429='IN-TC'!$S$4,OR(TH!N2429="1111",TH!O2429="1111")),TH!D2429,""),"")</f>
        <v/>
      </c>
      <c r="B2429" s="34">
        <f t="shared" si="100"/>
        <v>1</v>
      </c>
      <c r="C2429" s="35">
        <f t="shared" si="101"/>
        <v>0</v>
      </c>
      <c r="D2429" s="212"/>
      <c r="E2429" s="35"/>
      <c r="F2429" s="144"/>
      <c r="G2429" s="191"/>
      <c r="H2429" s="198"/>
      <c r="I2429" s="186"/>
      <c r="J2429" s="186"/>
      <c r="K2429" s="185"/>
      <c r="L2429" s="186"/>
      <c r="M2429" s="36">
        <f t="shared" si="99"/>
        <v>0</v>
      </c>
      <c r="N2429" s="37" t="s">
        <v>1443</v>
      </c>
      <c r="O2429" s="37" t="s">
        <v>8</v>
      </c>
      <c r="P2429" s="47" t="str">
        <f>IF(AND('331-CT'!$F$5=TH!H2429,OR(N2429="331",O2429="331")),"x","")</f>
        <v/>
      </c>
      <c r="Q2429" s="47" t="str">
        <f>IF(AND(B2429='111'!$L$11,OR($N2429=$Q$7,$O2429=$Q$7)),"x","")</f>
        <v/>
      </c>
      <c r="R2429" s="47" t="str">
        <f>IF(AND($N2429=$Q$7,$B2429&lt;'111'!$L$11),"x","")</f>
        <v/>
      </c>
      <c r="S2429" s="47" t="str">
        <f>IF(AND($O2429=$Q$7,$B2429&lt;'111'!$L$11),"x","")</f>
        <v/>
      </c>
    </row>
    <row r="2430" spans="1:19" ht="15.75" customHeight="1">
      <c r="A2430" s="152" t="str">
        <f>IF(B2430&lt;&gt;"",IF(AND(B2430='IN-TC'!$S$4,OR(TH!N2430="1111",TH!O2430="1111")),TH!D2430,""),"")</f>
        <v/>
      </c>
      <c r="B2430" s="34" t="str">
        <f t="shared" si="100"/>
        <v/>
      </c>
      <c r="C2430" s="143"/>
      <c r="D2430" s="212"/>
      <c r="E2430" s="35"/>
      <c r="F2430" s="38"/>
      <c r="G2430" s="191"/>
      <c r="H2430" s="197"/>
      <c r="I2430" s="186"/>
      <c r="J2430" s="186"/>
      <c r="K2430" s="185"/>
      <c r="L2430" s="186"/>
      <c r="M2430" s="36"/>
      <c r="N2430" s="37"/>
      <c r="O2430" s="37"/>
      <c r="P2430" s="47" t="str">
        <f>IF(AND('331-CT'!$F$5=TH!H2430,OR(N2430="331",O2430="331")),"x","")</f>
        <v/>
      </c>
      <c r="Q2430" s="47" t="str">
        <f>IF(AND(B2430='111'!$L$11,OR($N2430=$Q$7,$O2430=$Q$7)),"x","")</f>
        <v/>
      </c>
      <c r="R2430" s="47" t="str">
        <f>IF(AND($N2430=$Q$7,$B2430&lt;'111'!$L$11),"x","")</f>
        <v/>
      </c>
      <c r="S2430" s="47" t="str">
        <f>IF(AND($O2430=$Q$7,$B2430&lt;'111'!$L$11),"x","")</f>
        <v/>
      </c>
    </row>
    <row r="2440" spans="13:13">
      <c r="M2440" s="188">
        <f>SUBTOTAL(9,M12:M2430)</f>
        <v>206111295800</v>
      </c>
    </row>
  </sheetData>
  <autoFilter ref="A9:S2430">
    <sortState ref="A10:V2259">
      <sortCondition descending="1" ref="H9:H2250"/>
    </sortState>
  </autoFilter>
  <sortState ref="A13:W1878">
    <sortCondition ref="E13:E1878"/>
  </sortState>
  <mergeCells count="15">
    <mergeCell ref="C4:O4"/>
    <mergeCell ref="C5:O5"/>
    <mergeCell ref="C7:C8"/>
    <mergeCell ref="D7:E7"/>
    <mergeCell ref="F7:F8"/>
    <mergeCell ref="M7:M8"/>
    <mergeCell ref="N7:O7"/>
    <mergeCell ref="G7:G8"/>
    <mergeCell ref="A7:A8"/>
    <mergeCell ref="B7:B8"/>
    <mergeCell ref="H7:H8"/>
    <mergeCell ref="K7:L7"/>
    <mergeCell ref="Q7:S8"/>
    <mergeCell ref="P7:P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5"/>
  <sheetViews>
    <sheetView topLeftCell="A7" workbookViewId="0">
      <pane ySplit="8" topLeftCell="A15" activePane="bottomLeft" state="frozen"/>
      <selection activeCell="B40" sqref="B40:H50"/>
      <selection pane="bottomLeft" activeCell="D16" sqref="D16"/>
    </sheetView>
  </sheetViews>
  <sheetFormatPr defaultRowHeight="15"/>
  <cols>
    <col min="1" max="1" width="7.7109375" style="134" customWidth="1"/>
    <col min="2" max="2" width="6.28515625" style="134" customWidth="1"/>
    <col min="3" max="3" width="7.42578125" style="134" customWidth="1"/>
    <col min="4" max="4" width="34.5703125" style="5" customWidth="1"/>
    <col min="5" max="5" width="6.28515625" style="134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80</v>
      </c>
      <c r="G2" s="272" t="s">
        <v>81</v>
      </c>
      <c r="H2" s="272"/>
      <c r="I2" s="272"/>
    </row>
    <row r="3" spans="1:9" ht="15.75" customHeight="1">
      <c r="A3" s="1" t="s">
        <v>82</v>
      </c>
      <c r="G3" s="273" t="s">
        <v>61</v>
      </c>
      <c r="H3" s="273"/>
      <c r="I3" s="273"/>
    </row>
    <row r="4" spans="1:9">
      <c r="F4" s="17"/>
      <c r="G4" s="273"/>
      <c r="H4" s="273"/>
      <c r="I4" s="273"/>
    </row>
    <row r="5" spans="1:9" ht="17.25" customHeight="1">
      <c r="A5" s="274" t="s">
        <v>83</v>
      </c>
      <c r="B5" s="274"/>
      <c r="C5" s="274"/>
      <c r="D5" s="274"/>
      <c r="E5" s="274"/>
      <c r="F5" s="274"/>
      <c r="G5" s="274"/>
      <c r="H5" s="274"/>
      <c r="I5" s="274"/>
    </row>
    <row r="6" spans="1:9">
      <c r="A6" s="275" t="s">
        <v>84</v>
      </c>
      <c r="B6" s="276"/>
      <c r="C6" s="276"/>
      <c r="D6" s="276"/>
      <c r="E6" s="276"/>
      <c r="F6" s="276"/>
      <c r="G6" s="276"/>
      <c r="H6" s="276"/>
      <c r="I6" s="276"/>
    </row>
    <row r="7" spans="1:9">
      <c r="B7" s="5"/>
      <c r="C7" s="5"/>
      <c r="D7" s="138" t="s">
        <v>85</v>
      </c>
      <c r="E7" s="139" t="s">
        <v>35</v>
      </c>
    </row>
    <row r="8" spans="1:9">
      <c r="B8" s="5"/>
      <c r="C8" s="5"/>
      <c r="D8" s="138" t="s">
        <v>86</v>
      </c>
      <c r="E8" s="5" t="e">
        <f>VLOOKUP($E$7,DSTK,2,0)</f>
        <v>#REF!</v>
      </c>
    </row>
    <row r="9" spans="1:9">
      <c r="A9" s="276" t="s">
        <v>20</v>
      </c>
      <c r="B9" s="277"/>
      <c r="C9" s="277"/>
      <c r="D9" s="277"/>
      <c r="E9" s="277"/>
      <c r="F9" s="277"/>
      <c r="G9" s="277"/>
      <c r="H9" s="277"/>
      <c r="I9" s="277"/>
    </row>
    <row r="10" spans="1:9" ht="9.75" customHeight="1">
      <c r="C10" s="278"/>
      <c r="D10" s="279"/>
      <c r="E10" s="279"/>
      <c r="F10" s="279"/>
      <c r="G10" s="279"/>
      <c r="H10" s="279"/>
      <c r="I10" s="279"/>
    </row>
    <row r="11" spans="1:9" s="18" customFormat="1" ht="19.5" customHeight="1">
      <c r="A11" s="280" t="s">
        <v>16</v>
      </c>
      <c r="B11" s="270" t="s">
        <v>1</v>
      </c>
      <c r="C11" s="281"/>
      <c r="D11" s="280" t="s">
        <v>0</v>
      </c>
      <c r="E11" s="280" t="s">
        <v>13</v>
      </c>
      <c r="F11" s="270" t="s">
        <v>17</v>
      </c>
      <c r="G11" s="281"/>
      <c r="H11" s="270" t="s">
        <v>21</v>
      </c>
      <c r="I11" s="271"/>
    </row>
    <row r="12" spans="1:9" s="18" customFormat="1" ht="32.25" customHeight="1">
      <c r="A12" s="280"/>
      <c r="B12" s="173" t="s">
        <v>14</v>
      </c>
      <c r="C12" s="173" t="s">
        <v>22</v>
      </c>
      <c r="D12" s="280"/>
      <c r="E12" s="280"/>
      <c r="F12" s="173" t="s">
        <v>18</v>
      </c>
      <c r="G12" s="173" t="s">
        <v>19</v>
      </c>
      <c r="H12" s="173" t="s">
        <v>18</v>
      </c>
      <c r="I12" s="173" t="s">
        <v>19</v>
      </c>
    </row>
    <row r="13" spans="1:9" s="159" customFormat="1" ht="11.25" customHeight="1">
      <c r="A13" s="160" t="s">
        <v>2</v>
      </c>
      <c r="B13" s="161" t="s">
        <v>3</v>
      </c>
      <c r="C13" s="160" t="s">
        <v>4</v>
      </c>
      <c r="D13" s="160" t="s">
        <v>5</v>
      </c>
      <c r="E13" s="160" t="s">
        <v>6</v>
      </c>
      <c r="F13" s="160">
        <v>1</v>
      </c>
      <c r="G13" s="160">
        <v>2</v>
      </c>
      <c r="H13" s="160">
        <v>3</v>
      </c>
      <c r="I13" s="160">
        <v>4</v>
      </c>
    </row>
    <row r="14" spans="1:9" s="18" customFormat="1" ht="18" customHeight="1">
      <c r="A14" s="174"/>
      <c r="B14" s="169"/>
      <c r="C14" s="174"/>
      <c r="D14" s="168" t="s">
        <v>7</v>
      </c>
      <c r="E14" s="169"/>
      <c r="F14" s="175"/>
      <c r="G14" s="175"/>
      <c r="H14" s="175" t="e">
        <f>VLOOKUP($E$7,DSTK,3,0)</f>
        <v>#REF!</v>
      </c>
      <c r="I14" s="175" t="e">
        <f>VLOOKUP($E$7,DSTK,4,0)</f>
        <v>#REF!</v>
      </c>
    </row>
    <row r="15" spans="1:9" s="18" customFormat="1" ht="18" customHeight="1">
      <c r="A15" s="148" t="str">
        <f ca="1">IF(ROWS($1:1)&gt;COUNT(Dong5),"",OFFSET(TH!C$1,SMALL(Dong5,ROWS($1:1)),))</f>
        <v/>
      </c>
      <c r="B15" s="148" t="str">
        <f ca="1">IF(ROWS($1:1)&gt;COUNT(Dong5),"",OFFSET(TH!D$1,SMALL(Dong5,ROWS($1:1)),))</f>
        <v/>
      </c>
      <c r="C15" s="148" t="str">
        <f ca="1">IF(ROWS($1:1)&gt;COUNT(Dong5),"",OFFSET(TH!E$1,SMALL(Dong5,ROWS($1:1)),))</f>
        <v/>
      </c>
      <c r="D15" s="176" t="str">
        <f ca="1">IF(ROWS($1:1)&gt;COUNT(Dong5),"",OFFSET(TH!F$1,SMALL(Dong5,ROWS($1:1)),))</f>
        <v/>
      </c>
      <c r="E15" s="148" t="str">
        <f ca="1">IF(ROWS($1:1)&gt;COUNT(Dong5),"",IF(OFFSET(TH!N$1,SMALL(Dong5,ROWS($1:1)),)=$E$7,OFFSET(TH!O$1,SMALL(Dong5,ROWS($1:1)),),OFFSET(TH!N$1,SMALL(Dong5,ROWS($1:1)),)))</f>
        <v/>
      </c>
      <c r="F15" s="177">
        <f ca="1">IF(ROWS($1:1)&gt;COUNT(Dong5),0,IF(OFFSET(TH!N$1,SMALL(Dong5,ROWS($1:1)),)=$E$7,OFFSET(TH!M$1,SMALL(Dong5,ROWS($1:1)),),0))</f>
        <v>0</v>
      </c>
      <c r="G15" s="175">
        <f ca="1">IF(ROWS($1:1)&gt;COUNT(Dong5),0,IF(OFFSET(TH!O$1,SMALL(Dong5,ROWS($1:1)),)=$E$7,OFFSET(TH!M$1,SMALL(Dong5,ROWS($1:1)),),0))</f>
        <v>0</v>
      </c>
      <c r="H15" s="178">
        <f ca="1">IF(D15&lt;&gt;"",MAX(H14+F15-G15-I14,0),0)</f>
        <v>0</v>
      </c>
      <c r="I15" s="178">
        <f ca="1">IF(D15&lt;&gt;"",MAX(I14+G15-H14-F15,0),0)</f>
        <v>0</v>
      </c>
    </row>
    <row r="16" spans="1:9" s="18" customFormat="1" ht="18" customHeight="1">
      <c r="A16" s="148" t="str">
        <f ca="1">IF(ROWS($1:2)&gt;COUNT(Dong5),"",OFFSET(TH!C$1,SMALL(Dong5,ROWS($1:2)),))</f>
        <v/>
      </c>
      <c r="B16" s="148" t="str">
        <f ca="1">IF(ROWS($1:2)&gt;COUNT(Dong5),"",OFFSET(TH!D$1,SMALL(Dong5,ROWS($1:2)),))</f>
        <v/>
      </c>
      <c r="C16" s="148" t="str">
        <f ca="1">IF(ROWS($1:2)&gt;COUNT(Dong5),"",OFFSET(TH!E$1,SMALL(Dong5,ROWS($1:2)),))</f>
        <v/>
      </c>
      <c r="D16" s="176" t="str">
        <f ca="1">IF(ROWS($1:2)&gt;COUNT(Dong5),"",OFFSET(TH!F$1,SMALL(Dong5,ROWS($1:2)),))</f>
        <v/>
      </c>
      <c r="E16" s="148" t="str">
        <f ca="1">IF(ROWS($1:2)&gt;COUNT(Dong5),"",IF(OFFSET(TH!N$1,SMALL(Dong5,ROWS($1:2)),)=$E$7,OFFSET(TH!O$1,SMALL(Dong5,ROWS($1:2)),),OFFSET(TH!N$1,SMALL(Dong5,ROWS($1:2)),)))</f>
        <v/>
      </c>
      <c r="F16" s="177">
        <f ca="1">IF(ROWS($1:2)&gt;COUNT(Dong5),0,IF(OFFSET(TH!N$1,SMALL(Dong5,ROWS($1:2)),)=$E$7,OFFSET(TH!M$1,SMALL(Dong5,ROWS($1:2)),),0))</f>
        <v>0</v>
      </c>
      <c r="G16" s="175">
        <f ca="1">IF(ROWS($1:2)&gt;COUNT(Dong5),0,IF(OFFSET(TH!O$1,SMALL(Dong5,ROWS($1:2)),)=$E$7,OFFSET(TH!M$1,SMALL(Dong5,ROWS($1:2)),),0))</f>
        <v>0</v>
      </c>
      <c r="H16" s="178">
        <f t="shared" ref="H16:H32" ca="1" si="0">IF(D16&lt;&gt;"",MAX(H15+F16-G16-I15,0),0)</f>
        <v>0</v>
      </c>
      <c r="I16" s="178">
        <f t="shared" ref="I16:I32" ca="1" si="1">IF(D16&lt;&gt;"",MAX(I15+G16-H15-F16,0),0)</f>
        <v>0</v>
      </c>
    </row>
    <row r="17" spans="1:9" s="18" customFormat="1" ht="18" customHeight="1">
      <c r="A17" s="148" t="str">
        <f ca="1">IF(ROWS($1:3)&gt;COUNT(Dong5),"",OFFSET(TH!C$1,SMALL(Dong5,ROWS($1:3)),))</f>
        <v/>
      </c>
      <c r="B17" s="148" t="str">
        <f ca="1">IF(ROWS($1:3)&gt;COUNT(Dong5),"",OFFSET(TH!D$1,SMALL(Dong5,ROWS($1:3)),))</f>
        <v/>
      </c>
      <c r="C17" s="148" t="str">
        <f ca="1">IF(ROWS($1:3)&gt;COUNT(Dong5),"",OFFSET(TH!E$1,SMALL(Dong5,ROWS($1:3)),))</f>
        <v/>
      </c>
      <c r="D17" s="176" t="str">
        <f ca="1">IF(ROWS($1:3)&gt;COUNT(Dong5),"",OFFSET(TH!F$1,SMALL(Dong5,ROWS($1:3)),))</f>
        <v/>
      </c>
      <c r="E17" s="148" t="str">
        <f ca="1">IF(ROWS($1:3)&gt;COUNT(Dong5),"",IF(OFFSET(TH!N$1,SMALL(Dong5,ROWS($1:3)),)=$E$7,OFFSET(TH!O$1,SMALL(Dong5,ROWS($1:3)),),OFFSET(TH!N$1,SMALL(Dong5,ROWS($1:3)),)))</f>
        <v/>
      </c>
      <c r="F17" s="177">
        <f ca="1">IF(ROWS($1:3)&gt;COUNT(Dong5),0,IF(OFFSET(TH!N$1,SMALL(Dong5,ROWS($1:3)),)=$E$7,OFFSET(TH!M$1,SMALL(Dong5,ROWS($1:3)),),0))</f>
        <v>0</v>
      </c>
      <c r="G17" s="175">
        <f ca="1">IF(ROWS($1:3)&gt;COUNT(Dong5),0,IF(OFFSET(TH!O$1,SMALL(Dong5,ROWS($1:3)),)=$E$7,OFFSET(TH!M$1,SMALL(Dong5,ROWS($1:3)),),0))</f>
        <v>0</v>
      </c>
      <c r="H17" s="178">
        <f t="shared" ca="1" si="0"/>
        <v>0</v>
      </c>
      <c r="I17" s="178">
        <f t="shared" ca="1" si="1"/>
        <v>0</v>
      </c>
    </row>
    <row r="18" spans="1:9" s="18" customFormat="1" ht="18" customHeight="1">
      <c r="A18" s="148" t="str">
        <f ca="1">IF(ROWS($1:4)&gt;COUNT(Dong5),"",OFFSET(TH!C$1,SMALL(Dong5,ROWS($1:4)),))</f>
        <v/>
      </c>
      <c r="B18" s="148" t="str">
        <f ca="1">IF(ROWS($1:4)&gt;COUNT(Dong5),"",OFFSET(TH!D$1,SMALL(Dong5,ROWS($1:4)),))</f>
        <v/>
      </c>
      <c r="C18" s="148" t="str">
        <f ca="1">IF(ROWS($1:4)&gt;COUNT(Dong5),"",OFFSET(TH!E$1,SMALL(Dong5,ROWS($1:4)),))</f>
        <v/>
      </c>
      <c r="D18" s="176" t="str">
        <f ca="1">IF(ROWS($1:4)&gt;COUNT(Dong5),"",OFFSET(TH!F$1,SMALL(Dong5,ROWS($1:4)),))</f>
        <v/>
      </c>
      <c r="E18" s="148" t="str">
        <f ca="1">IF(ROWS($1:4)&gt;COUNT(Dong5),"",IF(OFFSET(TH!N$1,SMALL(Dong5,ROWS($1:4)),)=$E$7,OFFSET(TH!O$1,SMALL(Dong5,ROWS($1:4)),),OFFSET(TH!N$1,SMALL(Dong5,ROWS($1:4)),)))</f>
        <v/>
      </c>
      <c r="F18" s="177">
        <f ca="1">IF(ROWS($1:4)&gt;COUNT(Dong5),0,IF(OFFSET(TH!N$1,SMALL(Dong5,ROWS($1:4)),)=$E$7,OFFSET(TH!M$1,SMALL(Dong5,ROWS($1:4)),),0))</f>
        <v>0</v>
      </c>
      <c r="G18" s="175">
        <f ca="1">IF(ROWS($1:4)&gt;COUNT(Dong5),0,IF(OFFSET(TH!O$1,SMALL(Dong5,ROWS($1:4)),)=$E$7,OFFSET(TH!M$1,SMALL(Dong5,ROWS($1:4)),),0))</f>
        <v>0</v>
      </c>
      <c r="H18" s="178">
        <f t="shared" ca="1" si="0"/>
        <v>0</v>
      </c>
      <c r="I18" s="178">
        <f t="shared" ca="1" si="1"/>
        <v>0</v>
      </c>
    </row>
    <row r="19" spans="1:9" s="18" customFormat="1" ht="18" customHeight="1">
      <c r="A19" s="148" t="str">
        <f ca="1">IF(ROWS($1:5)&gt;COUNT(Dong5),"",OFFSET(TH!C$1,SMALL(Dong5,ROWS($1:5)),))</f>
        <v/>
      </c>
      <c r="B19" s="148" t="str">
        <f ca="1">IF(ROWS($1:5)&gt;COUNT(Dong5),"",OFFSET(TH!D$1,SMALL(Dong5,ROWS($1:5)),))</f>
        <v/>
      </c>
      <c r="C19" s="148" t="str">
        <f ca="1">IF(ROWS($1:5)&gt;COUNT(Dong5),"",OFFSET(TH!E$1,SMALL(Dong5,ROWS($1:5)),))</f>
        <v/>
      </c>
      <c r="D19" s="176" t="str">
        <f ca="1">IF(ROWS($1:5)&gt;COUNT(Dong5),"",OFFSET(TH!F$1,SMALL(Dong5,ROWS($1:5)),))</f>
        <v/>
      </c>
      <c r="E19" s="148" t="str">
        <f ca="1">IF(ROWS($1:5)&gt;COUNT(Dong5),"",IF(OFFSET(TH!N$1,SMALL(Dong5,ROWS($1:5)),)=$E$7,OFFSET(TH!O$1,SMALL(Dong5,ROWS($1:5)),),OFFSET(TH!N$1,SMALL(Dong5,ROWS($1:5)),)))</f>
        <v/>
      </c>
      <c r="F19" s="177">
        <f ca="1">IF(ROWS($1:5)&gt;COUNT(Dong5),0,IF(OFFSET(TH!N$1,SMALL(Dong5,ROWS($1:5)),)=$E$7,OFFSET(TH!M$1,SMALL(Dong5,ROWS($1:5)),),0))</f>
        <v>0</v>
      </c>
      <c r="G19" s="175">
        <f ca="1">IF(ROWS($1:5)&gt;COUNT(Dong5),0,IF(OFFSET(TH!O$1,SMALL(Dong5,ROWS($1:5)),)=$E$7,OFFSET(TH!M$1,SMALL(Dong5,ROWS($1:5)),),0))</f>
        <v>0</v>
      </c>
      <c r="H19" s="178">
        <f t="shared" ca="1" si="0"/>
        <v>0</v>
      </c>
      <c r="I19" s="178">
        <f t="shared" ca="1" si="1"/>
        <v>0</v>
      </c>
    </row>
    <row r="20" spans="1:9" s="18" customFormat="1" ht="18" customHeight="1">
      <c r="A20" s="148" t="str">
        <f ca="1">IF(ROWS($1:6)&gt;COUNT(Dong5),"",OFFSET(TH!C$1,SMALL(Dong5,ROWS($1:6)),))</f>
        <v/>
      </c>
      <c r="B20" s="148" t="str">
        <f ca="1">IF(ROWS($1:6)&gt;COUNT(Dong5),"",OFFSET(TH!D$1,SMALL(Dong5,ROWS($1:6)),))</f>
        <v/>
      </c>
      <c r="C20" s="148" t="str">
        <f ca="1">IF(ROWS($1:6)&gt;COUNT(Dong5),"",OFFSET(TH!E$1,SMALL(Dong5,ROWS($1:6)),))</f>
        <v/>
      </c>
      <c r="D20" s="176" t="str">
        <f ca="1">IF(ROWS($1:6)&gt;COUNT(Dong5),"",OFFSET(TH!F$1,SMALL(Dong5,ROWS($1:6)),))</f>
        <v/>
      </c>
      <c r="E20" s="148" t="str">
        <f ca="1">IF(ROWS($1:6)&gt;COUNT(Dong5),"",IF(OFFSET(TH!N$1,SMALL(Dong5,ROWS($1:6)),)=$E$7,OFFSET(TH!O$1,SMALL(Dong5,ROWS($1:6)),),OFFSET(TH!N$1,SMALL(Dong5,ROWS($1:6)),)))</f>
        <v/>
      </c>
      <c r="F20" s="177">
        <f ca="1">IF(ROWS($1:6)&gt;COUNT(Dong5),0,IF(OFFSET(TH!N$1,SMALL(Dong5,ROWS($1:6)),)=$E$7,OFFSET(TH!M$1,SMALL(Dong5,ROWS($1:6)),),0))</f>
        <v>0</v>
      </c>
      <c r="G20" s="175">
        <f ca="1">IF(ROWS($1:6)&gt;COUNT(Dong5),0,IF(OFFSET(TH!O$1,SMALL(Dong5,ROWS($1:6)),)=$E$7,OFFSET(TH!M$1,SMALL(Dong5,ROWS($1:6)),),0))</f>
        <v>0</v>
      </c>
      <c r="H20" s="178">
        <f t="shared" ca="1" si="0"/>
        <v>0</v>
      </c>
      <c r="I20" s="178">
        <f t="shared" ca="1" si="1"/>
        <v>0</v>
      </c>
    </row>
    <row r="21" spans="1:9" s="18" customFormat="1" ht="18" customHeight="1">
      <c r="A21" s="148" t="str">
        <f ca="1">IF(ROWS($1:7)&gt;COUNT(Dong5),"",OFFSET(TH!C$1,SMALL(Dong5,ROWS($1:7)),))</f>
        <v/>
      </c>
      <c r="B21" s="148" t="str">
        <f ca="1">IF(ROWS($1:7)&gt;COUNT(Dong5),"",OFFSET(TH!D$1,SMALL(Dong5,ROWS($1:7)),))</f>
        <v/>
      </c>
      <c r="C21" s="148" t="str">
        <f ca="1">IF(ROWS($1:7)&gt;COUNT(Dong5),"",OFFSET(TH!E$1,SMALL(Dong5,ROWS($1:7)),))</f>
        <v/>
      </c>
      <c r="D21" s="176" t="str">
        <f ca="1">IF(ROWS($1:7)&gt;COUNT(Dong5),"",OFFSET(TH!F$1,SMALL(Dong5,ROWS($1:7)),)&amp;" - "&amp;OFFSET(TH!H$1,SMALL(Dong5,ROWS($1:7)),))</f>
        <v/>
      </c>
      <c r="E21" s="148" t="str">
        <f ca="1">IF(ROWS($1:7)&gt;COUNT(Dong5),"",IF(OFFSET(TH!N$1,SMALL(Dong5,ROWS($1:7)),)=$E$7,OFFSET(TH!O$1,SMALL(Dong5,ROWS($1:7)),),OFFSET(TH!N$1,SMALL(Dong5,ROWS($1:7)),)))</f>
        <v/>
      </c>
      <c r="F21" s="177">
        <f ca="1">IF(ROWS($1:7)&gt;COUNT(Dong5),0,IF(OFFSET(TH!N$1,SMALL(Dong5,ROWS($1:7)),)=$E$7,OFFSET(TH!M$1,SMALL(Dong5,ROWS($1:7)),),0))</f>
        <v>0</v>
      </c>
      <c r="G21" s="175">
        <f ca="1">IF(ROWS($1:7)&gt;COUNT(Dong5),0,IF(OFFSET(TH!O$1,SMALL(Dong5,ROWS($1:7)),)=$E$7,OFFSET(TH!M$1,SMALL(Dong5,ROWS($1:7)),),0))</f>
        <v>0</v>
      </c>
      <c r="H21" s="178">
        <f t="shared" ca="1" si="0"/>
        <v>0</v>
      </c>
      <c r="I21" s="178">
        <f t="shared" ca="1" si="1"/>
        <v>0</v>
      </c>
    </row>
    <row r="22" spans="1:9" s="18" customFormat="1" ht="18" customHeight="1">
      <c r="A22" s="148" t="str">
        <f ca="1">IF(ROWS($1:8)&gt;COUNT(Dong5),"",OFFSET(TH!C$1,SMALL(Dong5,ROWS($1:8)),))</f>
        <v/>
      </c>
      <c r="B22" s="148" t="str">
        <f ca="1">IF(ROWS($1:8)&gt;COUNT(Dong5),"",OFFSET(TH!D$1,SMALL(Dong5,ROWS($1:8)),))</f>
        <v/>
      </c>
      <c r="C22" s="148" t="str">
        <f ca="1">IF(ROWS($1:8)&gt;COUNT(Dong5),"",OFFSET(TH!E$1,SMALL(Dong5,ROWS($1:8)),))</f>
        <v/>
      </c>
      <c r="D22" s="176" t="str">
        <f ca="1">IF(ROWS($1:8)&gt;COUNT(Dong5),"",OFFSET(TH!F$1,SMALL(Dong5,ROWS($1:8)),)&amp;" - "&amp;OFFSET(TH!H$1,SMALL(Dong5,ROWS($1:8)),))</f>
        <v/>
      </c>
      <c r="E22" s="148" t="str">
        <f ca="1">IF(ROWS($1:8)&gt;COUNT(Dong5),"",IF(OFFSET(TH!N$1,SMALL(Dong5,ROWS($1:8)),)=$E$7,OFFSET(TH!O$1,SMALL(Dong5,ROWS($1:8)),),OFFSET(TH!N$1,SMALL(Dong5,ROWS($1:8)),)))</f>
        <v/>
      </c>
      <c r="F22" s="177">
        <f ca="1">IF(ROWS($1:8)&gt;COUNT(Dong5),0,IF(OFFSET(TH!N$1,SMALL(Dong5,ROWS($1:8)),)=$E$7,OFFSET(TH!M$1,SMALL(Dong5,ROWS($1:8)),),0))</f>
        <v>0</v>
      </c>
      <c r="G22" s="175">
        <f ca="1">IF(ROWS($1:8)&gt;COUNT(Dong5),0,IF(OFFSET(TH!O$1,SMALL(Dong5,ROWS($1:8)),)=$E$7,OFFSET(TH!M$1,SMALL(Dong5,ROWS($1:8)),),0))</f>
        <v>0</v>
      </c>
      <c r="H22" s="178">
        <f t="shared" ca="1" si="0"/>
        <v>0</v>
      </c>
      <c r="I22" s="178">
        <f t="shared" ca="1" si="1"/>
        <v>0</v>
      </c>
    </row>
    <row r="23" spans="1:9" s="18" customFormat="1" ht="18" customHeight="1">
      <c r="A23" s="148" t="str">
        <f ca="1">IF(ROWS($1:9)&gt;COUNT(Dong5),"",OFFSET(TH!C$1,SMALL(Dong5,ROWS($1:9)),))</f>
        <v/>
      </c>
      <c r="B23" s="148" t="str">
        <f ca="1">IF(ROWS($1:9)&gt;COUNT(Dong5),"",OFFSET(TH!D$1,SMALL(Dong5,ROWS($1:9)),))</f>
        <v/>
      </c>
      <c r="C23" s="148" t="str">
        <f ca="1">IF(ROWS($1:9)&gt;COUNT(Dong5),"",OFFSET(TH!E$1,SMALL(Dong5,ROWS($1:9)),))</f>
        <v/>
      </c>
      <c r="D23" s="176" t="str">
        <f ca="1">IF(ROWS($1:9)&gt;COUNT(Dong5),"",OFFSET(TH!F$1,SMALL(Dong5,ROWS($1:9)),)&amp;" - "&amp;OFFSET(TH!H$1,SMALL(Dong5,ROWS($1:9)),))</f>
        <v/>
      </c>
      <c r="E23" s="148" t="str">
        <f ca="1">IF(ROWS($1:9)&gt;COUNT(Dong5),"",IF(OFFSET(TH!N$1,SMALL(Dong5,ROWS($1:9)),)=$E$7,OFFSET(TH!O$1,SMALL(Dong5,ROWS($1:9)),),OFFSET(TH!N$1,SMALL(Dong5,ROWS($1:9)),)))</f>
        <v/>
      </c>
      <c r="F23" s="177">
        <f ca="1">IF(ROWS($1:9)&gt;COUNT(Dong5),0,IF(OFFSET(TH!N$1,SMALL(Dong5,ROWS($1:9)),)=$E$7,OFFSET(TH!M$1,SMALL(Dong5,ROWS($1:9)),),0))</f>
        <v>0</v>
      </c>
      <c r="G23" s="175">
        <f ca="1">IF(ROWS($1:9)&gt;COUNT(Dong5),0,IF(OFFSET(TH!O$1,SMALL(Dong5,ROWS($1:9)),)=$E$7,OFFSET(TH!M$1,SMALL(Dong5,ROWS($1:9)),),0))</f>
        <v>0</v>
      </c>
      <c r="H23" s="178">
        <f t="shared" ca="1" si="0"/>
        <v>0</v>
      </c>
      <c r="I23" s="178">
        <f t="shared" ca="1" si="1"/>
        <v>0</v>
      </c>
    </row>
    <row r="24" spans="1:9" s="18" customFormat="1" ht="18" customHeight="1">
      <c r="A24" s="148" t="str">
        <f ca="1">IF(ROWS($1:10)&gt;COUNT(Dong5),"",OFFSET(TH!C$1,SMALL(Dong5,ROWS($1:10)),))</f>
        <v/>
      </c>
      <c r="B24" s="148" t="str">
        <f ca="1">IF(ROWS($1:10)&gt;COUNT(Dong5),"",OFFSET(TH!D$1,SMALL(Dong5,ROWS($1:10)),))</f>
        <v/>
      </c>
      <c r="C24" s="148" t="str">
        <f ca="1">IF(ROWS($1:10)&gt;COUNT(Dong5),"",OFFSET(TH!E$1,SMALL(Dong5,ROWS($1:10)),))</f>
        <v/>
      </c>
      <c r="D24" s="176" t="str">
        <f ca="1">IF(ROWS($1:10)&gt;COUNT(Dong5),"",OFFSET(TH!F$1,SMALL(Dong5,ROWS($1:10)),)&amp;" - "&amp;OFFSET(TH!H$1,SMALL(Dong5,ROWS($1:10)),))</f>
        <v/>
      </c>
      <c r="E24" s="148" t="str">
        <f ca="1">IF(ROWS($1:10)&gt;COUNT(Dong5),"",IF(OFFSET(TH!N$1,SMALL(Dong5,ROWS($1:10)),)=$E$7,OFFSET(TH!O$1,SMALL(Dong5,ROWS($1:10)),),OFFSET(TH!N$1,SMALL(Dong5,ROWS($1:10)),)))</f>
        <v/>
      </c>
      <c r="F24" s="177">
        <f ca="1">IF(ROWS($1:10)&gt;COUNT(Dong5),0,IF(OFFSET(TH!N$1,SMALL(Dong5,ROWS($1:10)),)=$E$7,OFFSET(TH!M$1,SMALL(Dong5,ROWS($1:10)),),0))</f>
        <v>0</v>
      </c>
      <c r="G24" s="175">
        <f ca="1">IF(ROWS($1:10)&gt;COUNT(Dong5),0,IF(OFFSET(TH!O$1,SMALL(Dong5,ROWS($1:10)),)=$E$7,OFFSET(TH!M$1,SMALL(Dong5,ROWS($1:10)),),0))</f>
        <v>0</v>
      </c>
      <c r="H24" s="178">
        <f t="shared" ca="1" si="0"/>
        <v>0</v>
      </c>
      <c r="I24" s="178">
        <f t="shared" ca="1" si="1"/>
        <v>0</v>
      </c>
    </row>
    <row r="25" spans="1:9" s="18" customFormat="1" ht="18" customHeight="1">
      <c r="A25" s="148" t="str">
        <f ca="1">IF(ROWS($1:11)&gt;COUNT(Dong5),"",OFFSET(TH!C$1,SMALL(Dong5,ROWS($1:11)),))</f>
        <v/>
      </c>
      <c r="B25" s="148" t="str">
        <f ca="1">IF(ROWS($1:11)&gt;COUNT(Dong5),"",OFFSET(TH!D$1,SMALL(Dong5,ROWS($1:11)),))</f>
        <v/>
      </c>
      <c r="C25" s="148" t="str">
        <f ca="1">IF(ROWS($1:11)&gt;COUNT(Dong5),"",OFFSET(TH!E$1,SMALL(Dong5,ROWS($1:11)),))</f>
        <v/>
      </c>
      <c r="D25" s="176" t="str">
        <f ca="1">IF(ROWS($1:11)&gt;COUNT(Dong5),"",OFFSET(TH!F$1,SMALL(Dong5,ROWS($1:11)),))</f>
        <v/>
      </c>
      <c r="E25" s="148" t="str">
        <f ca="1">IF(ROWS($1:11)&gt;COUNT(Dong5),"",IF(OFFSET(TH!N$1,SMALL(Dong5,ROWS($1:11)),)=$E$7,OFFSET(TH!O$1,SMALL(Dong5,ROWS($1:11)),),OFFSET(TH!N$1,SMALL(Dong5,ROWS($1:11)),)))</f>
        <v/>
      </c>
      <c r="F25" s="177">
        <f ca="1">IF(ROWS($1:11)&gt;COUNT(Dong5),0,IF(OFFSET(TH!N$1,SMALL(Dong5,ROWS($1:11)),)=$E$7,OFFSET(TH!M$1,SMALL(Dong5,ROWS($1:11)),),0))</f>
        <v>0</v>
      </c>
      <c r="G25" s="175">
        <f ca="1">IF(ROWS($1:11)&gt;COUNT(Dong5),0,IF(OFFSET(TH!O$1,SMALL(Dong5,ROWS($1:11)),)=$E$7,OFFSET(TH!M$1,SMALL(Dong5,ROWS($1:11)),),0))</f>
        <v>0</v>
      </c>
      <c r="H25" s="178">
        <f t="shared" ca="1" si="0"/>
        <v>0</v>
      </c>
      <c r="I25" s="178">
        <f t="shared" ca="1" si="1"/>
        <v>0</v>
      </c>
    </row>
    <row r="26" spans="1:9" s="18" customFormat="1" ht="18" customHeight="1">
      <c r="A26" s="148" t="str">
        <f ca="1">IF(ROWS($1:12)&gt;COUNT(Dong5),"",OFFSET(TH!C$1,SMALL(Dong5,ROWS($1:12)),))</f>
        <v/>
      </c>
      <c r="B26" s="148" t="str">
        <f ca="1">IF(ROWS($1:12)&gt;COUNT(Dong5),"",OFFSET(TH!D$1,SMALL(Dong5,ROWS($1:12)),))</f>
        <v/>
      </c>
      <c r="C26" s="148" t="str">
        <f ca="1">IF(ROWS($1:12)&gt;COUNT(Dong5),"",OFFSET(TH!E$1,SMALL(Dong5,ROWS($1:12)),))</f>
        <v/>
      </c>
      <c r="D26" s="176" t="str">
        <f ca="1">IF(ROWS($1:12)&gt;COUNT(Dong5),"",OFFSET(TH!F$1,SMALL(Dong5,ROWS($1:12)),))</f>
        <v/>
      </c>
      <c r="E26" s="148" t="str">
        <f ca="1">IF(ROWS($1:12)&gt;COUNT(Dong5),"",IF(OFFSET(TH!N$1,SMALL(Dong5,ROWS($1:12)),)=$E$7,OFFSET(TH!O$1,SMALL(Dong5,ROWS($1:12)),),OFFSET(TH!N$1,SMALL(Dong5,ROWS($1:12)),)))</f>
        <v/>
      </c>
      <c r="F26" s="177">
        <f ca="1">IF(ROWS($1:12)&gt;COUNT(Dong5),0,IF(OFFSET(TH!N$1,SMALL(Dong5,ROWS($1:12)),)=$E$7,OFFSET(TH!M$1,SMALL(Dong5,ROWS($1:12)),),0))</f>
        <v>0</v>
      </c>
      <c r="G26" s="175">
        <f ca="1">IF(ROWS($1:12)&gt;COUNT(Dong5),0,IF(OFFSET(TH!O$1,SMALL(Dong5,ROWS($1:12)),)=$E$7,OFFSET(TH!M$1,SMALL(Dong5,ROWS($1:12)),),0))</f>
        <v>0</v>
      </c>
      <c r="H26" s="178">
        <f t="shared" ca="1" si="0"/>
        <v>0</v>
      </c>
      <c r="I26" s="178">
        <f t="shared" ca="1" si="1"/>
        <v>0</v>
      </c>
    </row>
    <row r="27" spans="1:9" s="18" customFormat="1" ht="18" customHeight="1">
      <c r="A27" s="148" t="str">
        <f ca="1">IF(ROWS($1:13)&gt;COUNT(Dong5),"",OFFSET(TH!C$1,SMALL(Dong5,ROWS($1:13)),))</f>
        <v/>
      </c>
      <c r="B27" s="148" t="str">
        <f ca="1">IF(ROWS($1:13)&gt;COUNT(Dong5),"",OFFSET(TH!D$1,SMALL(Dong5,ROWS($1:13)),))</f>
        <v/>
      </c>
      <c r="C27" s="148" t="str">
        <f ca="1">IF(ROWS($1:13)&gt;COUNT(Dong5),"",OFFSET(TH!E$1,SMALL(Dong5,ROWS($1:13)),))</f>
        <v/>
      </c>
      <c r="D27" s="176" t="str">
        <f ca="1">IF(ROWS($1:13)&gt;COUNT(Dong5),"",OFFSET(TH!F$1,SMALL(Dong5,ROWS($1:13)),))</f>
        <v/>
      </c>
      <c r="E27" s="148" t="str">
        <f ca="1">IF(ROWS($1:13)&gt;COUNT(Dong5),"",IF(OFFSET(TH!N$1,SMALL(Dong5,ROWS($1:13)),)=$E$7,OFFSET(TH!O$1,SMALL(Dong5,ROWS($1:13)),),OFFSET(TH!N$1,SMALL(Dong5,ROWS($1:13)),)))</f>
        <v/>
      </c>
      <c r="F27" s="177">
        <f ca="1">IF(ROWS($1:13)&gt;COUNT(Dong5),0,IF(OFFSET(TH!N$1,SMALL(Dong5,ROWS($1:13)),)=$E$7,OFFSET(TH!M$1,SMALL(Dong5,ROWS($1:13)),),0))</f>
        <v>0</v>
      </c>
      <c r="G27" s="175">
        <f ca="1">IF(ROWS($1:13)&gt;COUNT(Dong5),0,IF(OFFSET(TH!O$1,SMALL(Dong5,ROWS($1:13)),)=$E$7,OFFSET(TH!M$1,SMALL(Dong5,ROWS($1:13)),),0))</f>
        <v>0</v>
      </c>
      <c r="H27" s="178">
        <f t="shared" ca="1" si="0"/>
        <v>0</v>
      </c>
      <c r="I27" s="178">
        <f t="shared" ca="1" si="1"/>
        <v>0</v>
      </c>
    </row>
    <row r="28" spans="1:9" s="18" customFormat="1" ht="18" customHeight="1">
      <c r="A28" s="148" t="str">
        <f ca="1">IF(ROWS($1:14)&gt;COUNT(Dong5),"",OFFSET(TH!C$1,SMALL(Dong5,ROWS($1:14)),))</f>
        <v/>
      </c>
      <c r="B28" s="148" t="str">
        <f ca="1">IF(ROWS($1:14)&gt;COUNT(Dong5),"",OFFSET(TH!D$1,SMALL(Dong5,ROWS($1:14)),))</f>
        <v/>
      </c>
      <c r="C28" s="148" t="str">
        <f ca="1">IF(ROWS($1:14)&gt;COUNT(Dong5),"",OFFSET(TH!E$1,SMALL(Dong5,ROWS($1:14)),))</f>
        <v/>
      </c>
      <c r="D28" s="176" t="str">
        <f ca="1">IF(ROWS($1:14)&gt;COUNT(Dong5),"",OFFSET(TH!F$1,SMALL(Dong5,ROWS($1:14)),))</f>
        <v/>
      </c>
      <c r="E28" s="148" t="str">
        <f ca="1">IF(ROWS($1:14)&gt;COUNT(Dong5),"",IF(OFFSET(TH!N$1,SMALL(Dong5,ROWS($1:14)),)=$E$7,OFFSET(TH!O$1,SMALL(Dong5,ROWS($1:14)),),OFFSET(TH!N$1,SMALL(Dong5,ROWS($1:14)),)))</f>
        <v/>
      </c>
      <c r="F28" s="177">
        <f ca="1">IF(ROWS($1:14)&gt;COUNT(Dong5),0,IF(OFFSET(TH!N$1,SMALL(Dong5,ROWS($1:14)),)=$E$7,OFFSET(TH!M$1,SMALL(Dong5,ROWS($1:14)),),0))</f>
        <v>0</v>
      </c>
      <c r="G28" s="175">
        <f ca="1">IF(ROWS($1:14)&gt;COUNT(Dong5),0,IF(OFFSET(TH!O$1,SMALL(Dong5,ROWS($1:14)),)=$E$7,OFFSET(TH!M$1,SMALL(Dong5,ROWS($1:14)),),0))</f>
        <v>0</v>
      </c>
      <c r="H28" s="178">
        <f t="shared" ca="1" si="0"/>
        <v>0</v>
      </c>
      <c r="I28" s="178">
        <f t="shared" ca="1" si="1"/>
        <v>0</v>
      </c>
    </row>
    <row r="29" spans="1:9" s="18" customFormat="1" ht="18" customHeight="1">
      <c r="A29" s="148" t="str">
        <f ca="1">IF(ROWS($1:15)&gt;COUNT(Dong5),"",OFFSET(TH!C$1,SMALL(Dong5,ROWS($1:15)),))</f>
        <v/>
      </c>
      <c r="B29" s="148" t="str">
        <f ca="1">IF(ROWS($1:15)&gt;COUNT(Dong5),"",OFFSET(TH!D$1,SMALL(Dong5,ROWS($1:15)),))</f>
        <v/>
      </c>
      <c r="C29" s="148" t="str">
        <f ca="1">IF(ROWS($1:15)&gt;COUNT(Dong5),"",OFFSET(TH!E$1,SMALL(Dong5,ROWS($1:15)),))</f>
        <v/>
      </c>
      <c r="D29" s="176" t="str">
        <f ca="1">IF(ROWS($1:15)&gt;COUNT(Dong5),"",OFFSET(TH!F$1,SMALL(Dong5,ROWS($1:15)),))</f>
        <v/>
      </c>
      <c r="E29" s="148" t="str">
        <f ca="1">IF(ROWS($1:15)&gt;COUNT(Dong5),"",IF(OFFSET(TH!N$1,SMALL(Dong5,ROWS($1:15)),)=$E$7,OFFSET(TH!O$1,SMALL(Dong5,ROWS($1:15)),),OFFSET(TH!N$1,SMALL(Dong5,ROWS($1:15)),)))</f>
        <v/>
      </c>
      <c r="F29" s="177">
        <f ca="1">IF(ROWS($1:15)&gt;COUNT(Dong5),0,IF(OFFSET(TH!N$1,SMALL(Dong5,ROWS($1:15)),)=$E$7,OFFSET(TH!M$1,SMALL(Dong5,ROWS($1:15)),),0))</f>
        <v>0</v>
      </c>
      <c r="G29" s="175">
        <f ca="1">IF(ROWS($1:15)&gt;COUNT(Dong5),0,IF(OFFSET(TH!O$1,SMALL(Dong5,ROWS($1:15)),)=$E$7,OFFSET(TH!M$1,SMALL(Dong5,ROWS($1:15)),),0))</f>
        <v>0</v>
      </c>
      <c r="H29" s="178">
        <f t="shared" ca="1" si="0"/>
        <v>0</v>
      </c>
      <c r="I29" s="178">
        <f t="shared" ca="1" si="1"/>
        <v>0</v>
      </c>
    </row>
    <row r="30" spans="1:9" s="18" customFormat="1" ht="18" customHeight="1">
      <c r="A30" s="148" t="str">
        <f ca="1">IF(ROWS($1:16)&gt;COUNT(Dong5),"",OFFSET(TH!C$1,SMALL(Dong5,ROWS($1:16)),))</f>
        <v/>
      </c>
      <c r="B30" s="148" t="str">
        <f ca="1">IF(ROWS($1:16)&gt;COUNT(Dong5),"",OFFSET(TH!D$1,SMALL(Dong5,ROWS($1:16)),))</f>
        <v/>
      </c>
      <c r="C30" s="148" t="str">
        <f ca="1">IF(ROWS($1:16)&gt;COUNT(Dong5),"",OFFSET(TH!E$1,SMALL(Dong5,ROWS($1:16)),))</f>
        <v/>
      </c>
      <c r="D30" s="176" t="str">
        <f ca="1">IF(ROWS($1:16)&gt;COUNT(Dong5),"",OFFSET(TH!F$1,SMALL(Dong5,ROWS($1:16)),))</f>
        <v/>
      </c>
      <c r="E30" s="148" t="str">
        <f ca="1">IF(ROWS($1:16)&gt;COUNT(Dong5),"",IF(OFFSET(TH!N$1,SMALL(Dong5,ROWS($1:16)),)=$E$7,OFFSET(TH!O$1,SMALL(Dong5,ROWS($1:16)),),OFFSET(TH!N$1,SMALL(Dong5,ROWS($1:16)),)))</f>
        <v/>
      </c>
      <c r="F30" s="177">
        <f ca="1">IF(ROWS($1:16)&gt;COUNT(Dong5),0,IF(OFFSET(TH!N$1,SMALL(Dong5,ROWS($1:16)),)=$E$7,OFFSET(TH!M$1,SMALL(Dong5,ROWS($1:16)),),0))</f>
        <v>0</v>
      </c>
      <c r="G30" s="175">
        <f ca="1">IF(ROWS($1:16)&gt;COUNT(Dong5),0,IF(OFFSET(TH!O$1,SMALL(Dong5,ROWS($1:16)),)=$E$7,OFFSET(TH!M$1,SMALL(Dong5,ROWS($1:16)),),0))</f>
        <v>0</v>
      </c>
      <c r="H30" s="178">
        <f t="shared" ca="1" si="0"/>
        <v>0</v>
      </c>
      <c r="I30" s="178">
        <f t="shared" ca="1" si="1"/>
        <v>0</v>
      </c>
    </row>
    <row r="31" spans="1:9" s="18" customFormat="1" ht="18" customHeight="1">
      <c r="A31" s="148" t="str">
        <f ca="1">IF(ROWS($1:17)&gt;COUNT(Dong5),"",OFFSET(TH!C$1,SMALL(Dong5,ROWS($1:17)),))</f>
        <v/>
      </c>
      <c r="B31" s="148" t="str">
        <f ca="1">IF(ROWS($1:17)&gt;COUNT(Dong5),"",OFFSET(TH!D$1,SMALL(Dong5,ROWS($1:17)),))</f>
        <v/>
      </c>
      <c r="C31" s="148" t="str">
        <f ca="1">IF(ROWS($1:17)&gt;COUNT(Dong5),"",OFFSET(TH!E$1,SMALL(Dong5,ROWS($1:17)),))</f>
        <v/>
      </c>
      <c r="D31" s="176" t="str">
        <f ca="1">IF(ROWS($1:17)&gt;COUNT(Dong5),"",OFFSET(TH!F$1,SMALL(Dong5,ROWS($1:17)),))</f>
        <v/>
      </c>
      <c r="E31" s="148" t="str">
        <f ca="1">IF(ROWS($1:17)&gt;COUNT(Dong5),"",IF(OFFSET(TH!N$1,SMALL(Dong5,ROWS($1:17)),)=$E$7,OFFSET(TH!O$1,SMALL(Dong5,ROWS($1:17)),),OFFSET(TH!N$1,SMALL(Dong5,ROWS($1:17)),)))</f>
        <v/>
      </c>
      <c r="F31" s="177">
        <f ca="1">IF(ROWS($1:17)&gt;COUNT(Dong5),0,IF(OFFSET(TH!N$1,SMALL(Dong5,ROWS($1:17)),)=$E$7,OFFSET(TH!M$1,SMALL(Dong5,ROWS($1:17)),),0))</f>
        <v>0</v>
      </c>
      <c r="G31" s="175">
        <f ca="1">IF(ROWS($1:17)&gt;COUNT(Dong5),0,IF(OFFSET(TH!O$1,SMALL(Dong5,ROWS($1:17)),)=$E$7,OFFSET(TH!M$1,SMALL(Dong5,ROWS($1:17)),),0))</f>
        <v>0</v>
      </c>
      <c r="H31" s="178">
        <f t="shared" ca="1" si="0"/>
        <v>0</v>
      </c>
      <c r="I31" s="178">
        <f t="shared" ca="1" si="1"/>
        <v>0</v>
      </c>
    </row>
    <row r="32" spans="1:9" s="18" customFormat="1" ht="18" customHeight="1">
      <c r="A32" s="148" t="str">
        <f ca="1">IF(ROWS($1:18)&gt;COUNT(Dong5),"",OFFSET(TH!C$1,SMALL(Dong5,ROWS($1:18)),))</f>
        <v/>
      </c>
      <c r="B32" s="148" t="str">
        <f ca="1">IF(ROWS($1:18)&gt;COUNT(Dong5),"",OFFSET(TH!D$1,SMALL(Dong5,ROWS($1:18)),))</f>
        <v/>
      </c>
      <c r="C32" s="148" t="str">
        <f ca="1">IF(ROWS($1:18)&gt;COUNT(Dong5),"",OFFSET(TH!E$1,SMALL(Dong5,ROWS($1:18)),))</f>
        <v/>
      </c>
      <c r="D32" s="176" t="str">
        <f ca="1">IF(ROWS($1:18)&gt;COUNT(Dong5),"",OFFSET(TH!F$1,SMALL(Dong5,ROWS($1:18)),))</f>
        <v/>
      </c>
      <c r="E32" s="148" t="str">
        <f ca="1">IF(ROWS($1:18)&gt;COUNT(Dong5),"",IF(OFFSET(TH!N$1,SMALL(Dong5,ROWS($1:18)),)=$E$7,OFFSET(TH!O$1,SMALL(Dong5,ROWS($1:18)),),OFFSET(TH!N$1,SMALL(Dong5,ROWS($1:18)),)))</f>
        <v/>
      </c>
      <c r="F32" s="177">
        <f ca="1">IF(ROWS($1:18)&gt;COUNT(Dong5),0,IF(OFFSET(TH!N$1,SMALL(Dong5,ROWS($1:18)),)=$E$7,OFFSET(TH!M$1,SMALL(Dong5,ROWS($1:18)),),0))</f>
        <v>0</v>
      </c>
      <c r="G32" s="175">
        <f ca="1">IF(ROWS($1:18)&gt;COUNT(Dong5),0,IF(OFFSET(TH!O$1,SMALL(Dong5,ROWS($1:18)),)=$E$7,OFFSET(TH!M$1,SMALL(Dong5,ROWS($1:18)),),0))</f>
        <v>0</v>
      </c>
      <c r="H32" s="178">
        <f t="shared" ca="1" si="0"/>
        <v>0</v>
      </c>
      <c r="I32" s="178">
        <f t="shared" ca="1" si="1"/>
        <v>0</v>
      </c>
    </row>
    <row r="33" spans="1:9" s="18" customFormat="1" ht="18" customHeight="1">
      <c r="A33" s="148" t="str">
        <f ca="1">IF(ROWS($1:19)&gt;COUNT(Dong5),"",OFFSET(TH!C$1,SMALL(Dong5,ROWS($1:19)),))</f>
        <v/>
      </c>
      <c r="B33" s="148" t="str">
        <f ca="1">IF(ROWS($1:19)&gt;COUNT(Dong5),"",OFFSET(TH!D$1,SMALL(Dong5,ROWS($1:19)),))</f>
        <v/>
      </c>
      <c r="C33" s="148" t="str">
        <f ca="1">IF(ROWS($1:19)&gt;COUNT(Dong5),"",OFFSET(TH!E$1,SMALL(Dong5,ROWS($1:19)),))</f>
        <v/>
      </c>
      <c r="D33" s="176" t="str">
        <f ca="1">IF(ROWS($1:19)&gt;COUNT(Dong5),"",OFFSET(TH!F$1,SMALL(Dong5,ROWS($1:19)),))</f>
        <v/>
      </c>
      <c r="E33" s="148" t="str">
        <f ca="1">IF(ROWS($1:19)&gt;COUNT(Dong5),"",IF(OFFSET(TH!N$1,SMALL(Dong5,ROWS($1:19)),)=$E$7,OFFSET(TH!O$1,SMALL(Dong5,ROWS($1:19)),),OFFSET(TH!N$1,SMALL(Dong5,ROWS($1:19)),)))</f>
        <v/>
      </c>
      <c r="F33" s="177">
        <f ca="1">IF(ROWS($1:19)&gt;COUNT(Dong5),0,IF(OFFSET(TH!N$1,SMALL(Dong5,ROWS($1:19)),)=$E$7,OFFSET(TH!M$1,SMALL(Dong5,ROWS($1:19)),),0))</f>
        <v>0</v>
      </c>
      <c r="G33" s="175">
        <f ca="1">IF(ROWS($1:19)&gt;COUNT(Dong5),0,IF(OFFSET(TH!O$1,SMALL(Dong5,ROWS($1:19)),)=$E$7,OFFSET(TH!M$1,SMALL(Dong5,ROWS($1:19)),),0))</f>
        <v>0</v>
      </c>
      <c r="H33" s="178">
        <f t="shared" ref="H33:H46" ca="1" si="2">IF(D33&lt;&gt;"",MAX(H32+F33-G33-I32,0),0)</f>
        <v>0</v>
      </c>
      <c r="I33" s="178">
        <f t="shared" ref="I33:I46" ca="1" si="3">IF(D33&lt;&gt;"",MAX(I32+G33-H32-F33,0),0)</f>
        <v>0</v>
      </c>
    </row>
    <row r="34" spans="1:9" s="18" customFormat="1" ht="18" customHeight="1">
      <c r="A34" s="148" t="str">
        <f ca="1">IF(ROWS($1:20)&gt;COUNT(Dong5),"",OFFSET(TH!C$1,SMALL(Dong5,ROWS($1:20)),))</f>
        <v/>
      </c>
      <c r="B34" s="148" t="str">
        <f ca="1">IF(ROWS($1:20)&gt;COUNT(Dong5),"",OFFSET(TH!D$1,SMALL(Dong5,ROWS($1:20)),))</f>
        <v/>
      </c>
      <c r="C34" s="148" t="str">
        <f ca="1">IF(ROWS($1:20)&gt;COUNT(Dong5),"",OFFSET(TH!E$1,SMALL(Dong5,ROWS($1:20)),))</f>
        <v/>
      </c>
      <c r="D34" s="176" t="str">
        <f ca="1">IF(ROWS($1:20)&gt;COUNT(Dong5),"",OFFSET(TH!F$1,SMALL(Dong5,ROWS($1:20)),))</f>
        <v/>
      </c>
      <c r="E34" s="148" t="str">
        <f ca="1">IF(ROWS($1:20)&gt;COUNT(Dong5),"",IF(OFFSET(TH!N$1,SMALL(Dong5,ROWS($1:20)),)=$E$7,OFFSET(TH!O$1,SMALL(Dong5,ROWS($1:20)),),OFFSET(TH!N$1,SMALL(Dong5,ROWS($1:20)),)))</f>
        <v/>
      </c>
      <c r="F34" s="177">
        <f ca="1">IF(ROWS($1:20)&gt;COUNT(Dong5),0,IF(OFFSET(TH!N$1,SMALL(Dong5,ROWS($1:20)),)=$E$7,OFFSET(TH!M$1,SMALL(Dong5,ROWS($1:20)),),0))</f>
        <v>0</v>
      </c>
      <c r="G34" s="175">
        <f ca="1">IF(ROWS($1:20)&gt;COUNT(Dong5),0,IF(OFFSET(TH!O$1,SMALL(Dong5,ROWS($1:20)),)=$E$7,OFFSET(TH!M$1,SMALL(Dong5,ROWS($1:20)),),0))</f>
        <v>0</v>
      </c>
      <c r="H34" s="178">
        <f t="shared" ca="1" si="2"/>
        <v>0</v>
      </c>
      <c r="I34" s="178">
        <f t="shared" ca="1" si="3"/>
        <v>0</v>
      </c>
    </row>
    <row r="35" spans="1:9" s="18" customFormat="1" ht="18" customHeight="1">
      <c r="A35" s="148" t="str">
        <f ca="1">IF(ROWS($1:21)&gt;COUNT(Dong5),"",OFFSET(TH!C$1,SMALL(Dong5,ROWS($1:21)),))</f>
        <v/>
      </c>
      <c r="B35" s="148" t="str">
        <f ca="1">IF(ROWS($1:21)&gt;COUNT(Dong5),"",OFFSET(TH!D$1,SMALL(Dong5,ROWS($1:21)),))</f>
        <v/>
      </c>
      <c r="C35" s="148" t="str">
        <f ca="1">IF(ROWS($1:21)&gt;COUNT(Dong5),"",OFFSET(TH!E$1,SMALL(Dong5,ROWS($1:21)),))</f>
        <v/>
      </c>
      <c r="D35" s="176" t="str">
        <f ca="1">IF(ROWS($1:21)&gt;COUNT(Dong5),"",OFFSET(TH!F$1,SMALL(Dong5,ROWS($1:21)),))</f>
        <v/>
      </c>
      <c r="E35" s="148" t="str">
        <f ca="1">IF(ROWS($1:21)&gt;COUNT(Dong5),"",IF(OFFSET(TH!N$1,SMALL(Dong5,ROWS($1:21)),)=$E$7,OFFSET(TH!O$1,SMALL(Dong5,ROWS($1:21)),),OFFSET(TH!N$1,SMALL(Dong5,ROWS($1:21)),)))</f>
        <v/>
      </c>
      <c r="F35" s="177">
        <f ca="1">IF(ROWS($1:21)&gt;COUNT(Dong5),0,IF(OFFSET(TH!N$1,SMALL(Dong5,ROWS($1:21)),)=$E$7,OFFSET(TH!M$1,SMALL(Dong5,ROWS($1:21)),),0))</f>
        <v>0</v>
      </c>
      <c r="G35" s="175">
        <f ca="1">IF(ROWS($1:21)&gt;COUNT(Dong5),0,IF(OFFSET(TH!O$1,SMALL(Dong5,ROWS($1:21)),)=$E$7,OFFSET(TH!M$1,SMALL(Dong5,ROWS($1:21)),),0))</f>
        <v>0</v>
      </c>
      <c r="H35" s="178">
        <f t="shared" ca="1" si="2"/>
        <v>0</v>
      </c>
      <c r="I35" s="178">
        <f t="shared" ca="1" si="3"/>
        <v>0</v>
      </c>
    </row>
    <row r="36" spans="1:9" s="18" customFormat="1" ht="18" customHeight="1">
      <c r="A36" s="148" t="str">
        <f ca="1">IF(ROWS($1:22)&gt;COUNT(Dong5),"",OFFSET(TH!C$1,SMALL(Dong5,ROWS($1:22)),))</f>
        <v/>
      </c>
      <c r="B36" s="148" t="str">
        <f ca="1">IF(ROWS($1:22)&gt;COUNT(Dong5),"",OFFSET(TH!D$1,SMALL(Dong5,ROWS($1:22)),))</f>
        <v/>
      </c>
      <c r="C36" s="148" t="str">
        <f ca="1">IF(ROWS($1:22)&gt;COUNT(Dong5),"",OFFSET(TH!E$1,SMALL(Dong5,ROWS($1:22)),))</f>
        <v/>
      </c>
      <c r="D36" s="176" t="str">
        <f ca="1">IF(ROWS($1:22)&gt;COUNT(Dong5),"",OFFSET(TH!F$1,SMALL(Dong5,ROWS($1:22)),))</f>
        <v/>
      </c>
      <c r="E36" s="148" t="str">
        <f ca="1">IF(ROWS($1:22)&gt;COUNT(Dong5),"",IF(OFFSET(TH!N$1,SMALL(Dong5,ROWS($1:22)),)=$E$7,OFFSET(TH!O$1,SMALL(Dong5,ROWS($1:22)),),OFFSET(TH!N$1,SMALL(Dong5,ROWS($1:22)),)))</f>
        <v/>
      </c>
      <c r="F36" s="177">
        <f ca="1">IF(ROWS($1:22)&gt;COUNT(Dong5),0,IF(OFFSET(TH!N$1,SMALL(Dong5,ROWS($1:22)),)=$E$7,OFFSET(TH!M$1,SMALL(Dong5,ROWS($1:22)),),0))</f>
        <v>0</v>
      </c>
      <c r="G36" s="175">
        <f ca="1">IF(ROWS($1:22)&gt;COUNT(Dong5),0,IF(OFFSET(TH!O$1,SMALL(Dong5,ROWS($1:22)),)=$E$7,OFFSET(TH!M$1,SMALL(Dong5,ROWS($1:22)),),0))</f>
        <v>0</v>
      </c>
      <c r="H36" s="178">
        <f t="shared" ca="1" si="2"/>
        <v>0</v>
      </c>
      <c r="I36" s="178">
        <f t="shared" ca="1" si="3"/>
        <v>0</v>
      </c>
    </row>
    <row r="37" spans="1:9" s="18" customFormat="1" ht="18" customHeight="1">
      <c r="A37" s="148" t="str">
        <f ca="1">IF(ROWS($1:23)&gt;COUNT(Dong5),"",OFFSET(TH!C$1,SMALL(Dong5,ROWS($1:23)),))</f>
        <v/>
      </c>
      <c r="B37" s="148" t="str">
        <f ca="1">IF(ROWS($1:23)&gt;COUNT(Dong5),"",OFFSET(TH!D$1,SMALL(Dong5,ROWS($1:23)),))</f>
        <v/>
      </c>
      <c r="C37" s="148" t="str">
        <f ca="1">IF(ROWS($1:23)&gt;COUNT(Dong5),"",OFFSET(TH!E$1,SMALL(Dong5,ROWS($1:23)),))</f>
        <v/>
      </c>
      <c r="D37" s="176" t="str">
        <f ca="1">IF(ROWS($1:23)&gt;COUNT(Dong5),"",OFFSET(TH!F$1,SMALL(Dong5,ROWS($1:23)),))</f>
        <v/>
      </c>
      <c r="E37" s="148" t="str">
        <f ca="1">IF(ROWS($1:23)&gt;COUNT(Dong5),"",IF(OFFSET(TH!N$1,SMALL(Dong5,ROWS($1:23)),)=$E$7,OFFSET(TH!O$1,SMALL(Dong5,ROWS($1:23)),),OFFSET(TH!N$1,SMALL(Dong5,ROWS($1:23)),)))</f>
        <v/>
      </c>
      <c r="F37" s="177">
        <f ca="1">IF(ROWS($1:23)&gt;COUNT(Dong5),0,IF(OFFSET(TH!N$1,SMALL(Dong5,ROWS($1:23)),)=$E$7,OFFSET(TH!M$1,SMALL(Dong5,ROWS($1:23)),),0))</f>
        <v>0</v>
      </c>
      <c r="G37" s="175">
        <f ca="1">IF(ROWS($1:23)&gt;COUNT(Dong5),0,IF(OFFSET(TH!O$1,SMALL(Dong5,ROWS($1:23)),)=$E$7,OFFSET(TH!M$1,SMALL(Dong5,ROWS($1:23)),),0))</f>
        <v>0</v>
      </c>
      <c r="H37" s="178">
        <f t="shared" ca="1" si="2"/>
        <v>0</v>
      </c>
      <c r="I37" s="178">
        <f t="shared" ca="1" si="3"/>
        <v>0</v>
      </c>
    </row>
    <row r="38" spans="1:9" s="18" customFormat="1" ht="18" customHeight="1">
      <c r="A38" s="148" t="str">
        <f ca="1">IF(ROWS($1:24)&gt;COUNT(Dong5),"",OFFSET(TH!C$1,SMALL(Dong5,ROWS($1:24)),))</f>
        <v/>
      </c>
      <c r="B38" s="148" t="str">
        <f ca="1">IF(ROWS($1:24)&gt;COUNT(Dong5),"",OFFSET(TH!D$1,SMALL(Dong5,ROWS($1:24)),))</f>
        <v/>
      </c>
      <c r="C38" s="148" t="str">
        <f ca="1">IF(ROWS($1:24)&gt;COUNT(Dong5),"",OFFSET(TH!E$1,SMALL(Dong5,ROWS($1:24)),))</f>
        <v/>
      </c>
      <c r="D38" s="176" t="str">
        <f ca="1">IF(ROWS($1:24)&gt;COUNT(Dong5),"",OFFSET(TH!F$1,SMALL(Dong5,ROWS($1:24)),))</f>
        <v/>
      </c>
      <c r="E38" s="148" t="str">
        <f ca="1">IF(ROWS($1:24)&gt;COUNT(Dong5),"",IF(OFFSET(TH!N$1,SMALL(Dong5,ROWS($1:24)),)=$E$7,OFFSET(TH!O$1,SMALL(Dong5,ROWS($1:24)),),OFFSET(TH!N$1,SMALL(Dong5,ROWS($1:24)),)))</f>
        <v/>
      </c>
      <c r="F38" s="177">
        <f ca="1">IF(ROWS($1:24)&gt;COUNT(Dong5),0,IF(OFFSET(TH!N$1,SMALL(Dong5,ROWS($1:24)),)=$E$7,OFFSET(TH!M$1,SMALL(Dong5,ROWS($1:24)),),0))</f>
        <v>0</v>
      </c>
      <c r="G38" s="175">
        <f ca="1">IF(ROWS($1:24)&gt;COUNT(Dong5),0,IF(OFFSET(TH!O$1,SMALL(Dong5,ROWS($1:24)),)=$E$7,OFFSET(TH!M$1,SMALL(Dong5,ROWS($1:24)),),0))</f>
        <v>0</v>
      </c>
      <c r="H38" s="178">
        <f t="shared" ca="1" si="2"/>
        <v>0</v>
      </c>
      <c r="I38" s="178">
        <f t="shared" ca="1" si="3"/>
        <v>0</v>
      </c>
    </row>
    <row r="39" spans="1:9" s="18" customFormat="1" ht="18" customHeight="1">
      <c r="A39" s="148" t="str">
        <f ca="1">IF(ROWS($1:25)&gt;COUNT(Dong5),"",OFFSET(TH!C$1,SMALL(Dong5,ROWS($1:25)),))</f>
        <v/>
      </c>
      <c r="B39" s="148" t="str">
        <f ca="1">IF(ROWS($1:25)&gt;COUNT(Dong5),"",OFFSET(TH!D$1,SMALL(Dong5,ROWS($1:25)),))</f>
        <v/>
      </c>
      <c r="C39" s="148" t="str">
        <f ca="1">IF(ROWS($1:25)&gt;COUNT(Dong5),"",OFFSET(TH!E$1,SMALL(Dong5,ROWS($1:25)),))</f>
        <v/>
      </c>
      <c r="D39" s="176" t="str">
        <f ca="1">IF(ROWS($1:25)&gt;COUNT(Dong5),"",OFFSET(TH!F$1,SMALL(Dong5,ROWS($1:25)),))</f>
        <v/>
      </c>
      <c r="E39" s="148" t="str">
        <f ca="1">IF(ROWS($1:25)&gt;COUNT(Dong5),"",IF(OFFSET(TH!N$1,SMALL(Dong5,ROWS($1:25)),)=$E$7,OFFSET(TH!O$1,SMALL(Dong5,ROWS($1:25)),),OFFSET(TH!N$1,SMALL(Dong5,ROWS($1:25)),)))</f>
        <v/>
      </c>
      <c r="F39" s="177">
        <f ca="1">IF(ROWS($1:25)&gt;COUNT(Dong5),0,IF(OFFSET(TH!N$1,SMALL(Dong5,ROWS($1:25)),)=$E$7,OFFSET(TH!M$1,SMALL(Dong5,ROWS($1:25)),),0))</f>
        <v>0</v>
      </c>
      <c r="G39" s="175">
        <f ca="1">IF(ROWS($1:25)&gt;COUNT(Dong5),0,IF(OFFSET(TH!O$1,SMALL(Dong5,ROWS($1:25)),)=$E$7,OFFSET(TH!M$1,SMALL(Dong5,ROWS($1:25)),),0))</f>
        <v>0</v>
      </c>
      <c r="H39" s="178">
        <f t="shared" ca="1" si="2"/>
        <v>0</v>
      </c>
      <c r="I39" s="178">
        <f t="shared" ca="1" si="3"/>
        <v>0</v>
      </c>
    </row>
    <row r="40" spans="1:9" s="18" customFormat="1" ht="18" customHeight="1">
      <c r="A40" s="148" t="str">
        <f ca="1">IF(ROWS($1:26)&gt;COUNT(Dong5),"",OFFSET(TH!C$1,SMALL(Dong5,ROWS($1:26)),))</f>
        <v/>
      </c>
      <c r="B40" s="148" t="str">
        <f ca="1">IF(ROWS($1:26)&gt;COUNT(Dong5),"",OFFSET(TH!D$1,SMALL(Dong5,ROWS($1:26)),))</f>
        <v/>
      </c>
      <c r="C40" s="148" t="str">
        <f ca="1">IF(ROWS($1:26)&gt;COUNT(Dong5),"",OFFSET(TH!E$1,SMALL(Dong5,ROWS($1:26)),))</f>
        <v/>
      </c>
      <c r="D40" s="176" t="str">
        <f ca="1">IF(ROWS($1:26)&gt;COUNT(Dong5),"",OFFSET(TH!F$1,SMALL(Dong5,ROWS($1:26)),))</f>
        <v/>
      </c>
      <c r="E40" s="148" t="str">
        <f ca="1">IF(ROWS($1:26)&gt;COUNT(Dong5),"",IF(OFFSET(TH!N$1,SMALL(Dong5,ROWS($1:26)),)=$E$7,OFFSET(TH!O$1,SMALL(Dong5,ROWS($1:26)),),OFFSET(TH!N$1,SMALL(Dong5,ROWS($1:26)),)))</f>
        <v/>
      </c>
      <c r="F40" s="177">
        <f ca="1">IF(ROWS($1:26)&gt;COUNT(Dong5),0,IF(OFFSET(TH!N$1,SMALL(Dong5,ROWS($1:26)),)=$E$7,OFFSET(TH!M$1,SMALL(Dong5,ROWS($1:26)),),0))</f>
        <v>0</v>
      </c>
      <c r="G40" s="175">
        <f ca="1">IF(ROWS($1:26)&gt;COUNT(Dong5),0,IF(OFFSET(TH!O$1,SMALL(Dong5,ROWS($1:26)),)=$E$7,OFFSET(TH!M$1,SMALL(Dong5,ROWS($1:26)),),0))</f>
        <v>0</v>
      </c>
      <c r="H40" s="178">
        <f t="shared" ca="1" si="2"/>
        <v>0</v>
      </c>
      <c r="I40" s="178">
        <f t="shared" ca="1" si="3"/>
        <v>0</v>
      </c>
    </row>
    <row r="41" spans="1:9" s="18" customFormat="1" ht="18" customHeight="1">
      <c r="A41" s="148" t="str">
        <f ca="1">IF(ROWS($1:27)&gt;COUNT(Dong5),"",OFFSET(TH!C$1,SMALL(Dong5,ROWS($1:27)),))</f>
        <v/>
      </c>
      <c r="B41" s="148" t="str">
        <f ca="1">IF(ROWS($1:27)&gt;COUNT(Dong5),"",OFFSET(TH!D$1,SMALL(Dong5,ROWS($1:27)),))</f>
        <v/>
      </c>
      <c r="C41" s="148" t="str">
        <f ca="1">IF(ROWS($1:27)&gt;COUNT(Dong5),"",OFFSET(TH!E$1,SMALL(Dong5,ROWS($1:27)),))</f>
        <v/>
      </c>
      <c r="D41" s="176" t="str">
        <f ca="1">IF(ROWS($1:27)&gt;COUNT(Dong5),"",OFFSET(TH!F$1,SMALL(Dong5,ROWS($1:27)),))</f>
        <v/>
      </c>
      <c r="E41" s="148" t="str">
        <f ca="1">IF(ROWS($1:27)&gt;COUNT(Dong5),"",IF(OFFSET(TH!N$1,SMALL(Dong5,ROWS($1:27)),)=$E$7,OFFSET(TH!O$1,SMALL(Dong5,ROWS($1:27)),),OFFSET(TH!N$1,SMALL(Dong5,ROWS($1:27)),)))</f>
        <v/>
      </c>
      <c r="F41" s="177">
        <f ca="1">IF(ROWS($1:27)&gt;COUNT(Dong5),0,IF(OFFSET(TH!N$1,SMALL(Dong5,ROWS($1:27)),)=$E$7,OFFSET(TH!M$1,SMALL(Dong5,ROWS($1:27)),),0))</f>
        <v>0</v>
      </c>
      <c r="G41" s="175">
        <f ca="1">IF(ROWS($1:27)&gt;COUNT(Dong5),0,IF(OFFSET(TH!O$1,SMALL(Dong5,ROWS($1:27)),)=$E$7,OFFSET(TH!M$1,SMALL(Dong5,ROWS($1:27)),),0))</f>
        <v>0</v>
      </c>
      <c r="H41" s="178">
        <f t="shared" ca="1" si="2"/>
        <v>0</v>
      </c>
      <c r="I41" s="178">
        <f t="shared" ca="1" si="3"/>
        <v>0</v>
      </c>
    </row>
    <row r="42" spans="1:9" s="18" customFormat="1" ht="18" customHeight="1">
      <c r="A42" s="148" t="str">
        <f ca="1">IF(ROWS($1:28)&gt;COUNT(Dong5),"",OFFSET(TH!C$1,SMALL(Dong5,ROWS($1:28)),))</f>
        <v/>
      </c>
      <c r="B42" s="148" t="str">
        <f ca="1">IF(ROWS($1:28)&gt;COUNT(Dong5),"",OFFSET(TH!D$1,SMALL(Dong5,ROWS($1:28)),))</f>
        <v/>
      </c>
      <c r="C42" s="148" t="str">
        <f ca="1">IF(ROWS($1:28)&gt;COUNT(Dong5),"",OFFSET(TH!E$1,SMALL(Dong5,ROWS($1:28)),))</f>
        <v/>
      </c>
      <c r="D42" s="176" t="str">
        <f ca="1">IF(ROWS($1:28)&gt;COUNT(Dong5),"",OFFSET(TH!F$1,SMALL(Dong5,ROWS($1:28)),))</f>
        <v/>
      </c>
      <c r="E42" s="148" t="str">
        <f ca="1">IF(ROWS($1:28)&gt;COUNT(Dong5),"",IF(OFFSET(TH!N$1,SMALL(Dong5,ROWS($1:28)),)=$E$7,OFFSET(TH!O$1,SMALL(Dong5,ROWS($1:28)),),OFFSET(TH!N$1,SMALL(Dong5,ROWS($1:28)),)))</f>
        <v/>
      </c>
      <c r="F42" s="177">
        <f ca="1">IF(ROWS($1:28)&gt;COUNT(Dong5),0,IF(OFFSET(TH!N$1,SMALL(Dong5,ROWS($1:28)),)=$E$7,OFFSET(TH!M$1,SMALL(Dong5,ROWS($1:28)),),0))</f>
        <v>0</v>
      </c>
      <c r="G42" s="175">
        <f ca="1">IF(ROWS($1:28)&gt;COUNT(Dong5),0,IF(OFFSET(TH!O$1,SMALL(Dong5,ROWS($1:28)),)=$E$7,OFFSET(TH!M$1,SMALL(Dong5,ROWS($1:28)),),0))</f>
        <v>0</v>
      </c>
      <c r="H42" s="178">
        <f t="shared" ca="1" si="2"/>
        <v>0</v>
      </c>
      <c r="I42" s="178">
        <f t="shared" ca="1" si="3"/>
        <v>0</v>
      </c>
    </row>
    <row r="43" spans="1:9" s="18" customFormat="1" ht="18" customHeight="1">
      <c r="A43" s="148" t="str">
        <f ca="1">IF(ROWS($1:29)&gt;COUNT(Dong5),"",OFFSET(TH!C$1,SMALL(Dong5,ROWS($1:29)),))</f>
        <v/>
      </c>
      <c r="B43" s="148" t="str">
        <f ca="1">IF(ROWS($1:29)&gt;COUNT(Dong5),"",OFFSET(TH!D$1,SMALL(Dong5,ROWS($1:29)),))</f>
        <v/>
      </c>
      <c r="C43" s="148" t="str">
        <f ca="1">IF(ROWS($1:29)&gt;COUNT(Dong5),"",OFFSET(TH!E$1,SMALL(Dong5,ROWS($1:29)),))</f>
        <v/>
      </c>
      <c r="D43" s="176" t="str">
        <f ca="1">IF(ROWS($1:29)&gt;COUNT(Dong5),"",OFFSET(TH!F$1,SMALL(Dong5,ROWS($1:29)),))</f>
        <v/>
      </c>
      <c r="E43" s="148" t="str">
        <f ca="1">IF(ROWS($1:29)&gt;COUNT(Dong5),"",IF(OFFSET(TH!N$1,SMALL(Dong5,ROWS($1:29)),)=$E$7,OFFSET(TH!O$1,SMALL(Dong5,ROWS($1:29)),),OFFSET(TH!N$1,SMALL(Dong5,ROWS($1:29)),)))</f>
        <v/>
      </c>
      <c r="F43" s="177">
        <f ca="1">IF(ROWS($1:29)&gt;COUNT(Dong5),0,IF(OFFSET(TH!N$1,SMALL(Dong5,ROWS($1:29)),)=$E$7,OFFSET(TH!M$1,SMALL(Dong5,ROWS($1:29)),),0))</f>
        <v>0</v>
      </c>
      <c r="G43" s="175">
        <f ca="1">IF(ROWS($1:29)&gt;COUNT(Dong5),0,IF(OFFSET(TH!O$1,SMALL(Dong5,ROWS($1:29)),)=$E$7,OFFSET(TH!M$1,SMALL(Dong5,ROWS($1:29)),),0))</f>
        <v>0</v>
      </c>
      <c r="H43" s="178">
        <f t="shared" ca="1" si="2"/>
        <v>0</v>
      </c>
      <c r="I43" s="178">
        <f t="shared" ca="1" si="3"/>
        <v>0</v>
      </c>
    </row>
    <row r="44" spans="1:9" s="18" customFormat="1" ht="18" customHeight="1">
      <c r="A44" s="148" t="str">
        <f ca="1">IF(ROWS($1:30)&gt;COUNT(Dong5),"",OFFSET(TH!C$1,SMALL(Dong5,ROWS($1:30)),))</f>
        <v/>
      </c>
      <c r="B44" s="148" t="str">
        <f ca="1">IF(ROWS($1:30)&gt;COUNT(Dong5),"",OFFSET(TH!D$1,SMALL(Dong5,ROWS($1:30)),))</f>
        <v/>
      </c>
      <c r="C44" s="148" t="str">
        <f ca="1">IF(ROWS($1:30)&gt;COUNT(Dong5),"",OFFSET(TH!E$1,SMALL(Dong5,ROWS($1:30)),))</f>
        <v/>
      </c>
      <c r="D44" s="176" t="str">
        <f ca="1">IF(ROWS($1:30)&gt;COUNT(Dong5),"",OFFSET(TH!F$1,SMALL(Dong5,ROWS($1:30)),))</f>
        <v/>
      </c>
      <c r="E44" s="148" t="str">
        <f ca="1">IF(ROWS($1:30)&gt;COUNT(Dong5),"",IF(OFFSET(TH!N$1,SMALL(Dong5,ROWS($1:30)),)=$E$7,OFFSET(TH!O$1,SMALL(Dong5,ROWS($1:30)),),OFFSET(TH!N$1,SMALL(Dong5,ROWS($1:30)),)))</f>
        <v/>
      </c>
      <c r="F44" s="177">
        <f ca="1">IF(ROWS($1:30)&gt;COUNT(Dong5),0,IF(OFFSET(TH!N$1,SMALL(Dong5,ROWS($1:30)),)=$E$7,OFFSET(TH!M$1,SMALL(Dong5,ROWS($1:30)),),0))</f>
        <v>0</v>
      </c>
      <c r="G44" s="175">
        <f ca="1">IF(ROWS($1:30)&gt;COUNT(Dong5),0,IF(OFFSET(TH!O$1,SMALL(Dong5,ROWS($1:30)),)=$E$7,OFFSET(TH!M$1,SMALL(Dong5,ROWS($1:30)),),0))</f>
        <v>0</v>
      </c>
      <c r="H44" s="178">
        <f t="shared" ca="1" si="2"/>
        <v>0</v>
      </c>
      <c r="I44" s="178">
        <f t="shared" ca="1" si="3"/>
        <v>0</v>
      </c>
    </row>
    <row r="45" spans="1:9" s="18" customFormat="1" ht="18" customHeight="1">
      <c r="A45" s="148" t="str">
        <f ca="1">IF(ROWS($1:31)&gt;COUNT(Dong5),"",OFFSET(TH!C$1,SMALL(Dong5,ROWS($1:31)),))</f>
        <v/>
      </c>
      <c r="B45" s="148" t="str">
        <f ca="1">IF(ROWS($1:31)&gt;COUNT(Dong5),"",OFFSET(TH!D$1,SMALL(Dong5,ROWS($1:31)),))</f>
        <v/>
      </c>
      <c r="C45" s="148" t="str">
        <f ca="1">IF(ROWS($1:31)&gt;COUNT(Dong5),"",OFFSET(TH!E$1,SMALL(Dong5,ROWS($1:31)),))</f>
        <v/>
      </c>
      <c r="D45" s="176" t="str">
        <f ca="1">IF(ROWS($1:31)&gt;COUNT(Dong5),"",OFFSET(TH!F$1,SMALL(Dong5,ROWS($1:31)),))</f>
        <v/>
      </c>
      <c r="E45" s="148" t="str">
        <f ca="1">IF(ROWS($1:31)&gt;COUNT(Dong5),"",IF(OFFSET(TH!N$1,SMALL(Dong5,ROWS($1:31)),)=$E$7,OFFSET(TH!O$1,SMALL(Dong5,ROWS($1:31)),),OFFSET(TH!N$1,SMALL(Dong5,ROWS($1:31)),)))</f>
        <v/>
      </c>
      <c r="F45" s="177">
        <f ca="1">IF(ROWS($1:31)&gt;COUNT(Dong5),0,IF(OFFSET(TH!N$1,SMALL(Dong5,ROWS($1:31)),)=$E$7,OFFSET(TH!M$1,SMALL(Dong5,ROWS($1:31)),),0))</f>
        <v>0</v>
      </c>
      <c r="G45" s="175">
        <f ca="1">IF(ROWS($1:31)&gt;COUNT(Dong5),0,IF(OFFSET(TH!O$1,SMALL(Dong5,ROWS($1:31)),)=$E$7,OFFSET(TH!M$1,SMALL(Dong5,ROWS($1:31)),),0))</f>
        <v>0</v>
      </c>
      <c r="H45" s="178">
        <f t="shared" ca="1" si="2"/>
        <v>0</v>
      </c>
      <c r="I45" s="178">
        <f t="shared" ca="1" si="3"/>
        <v>0</v>
      </c>
    </row>
    <row r="46" spans="1:9" s="18" customFormat="1" ht="18" customHeight="1">
      <c r="A46" s="148" t="str">
        <f ca="1">IF(ROWS($1:32)&gt;COUNT(Dong5),"",OFFSET(TH!C$1,SMALL(Dong5,ROWS($1:32)),))</f>
        <v/>
      </c>
      <c r="B46" s="148" t="str">
        <f ca="1">IF(ROWS($1:32)&gt;COUNT(Dong5),"",OFFSET(TH!D$1,SMALL(Dong5,ROWS($1:32)),))</f>
        <v/>
      </c>
      <c r="C46" s="148" t="str">
        <f ca="1">IF(ROWS($1:32)&gt;COUNT(Dong5),"",OFFSET(TH!E$1,SMALL(Dong5,ROWS($1:32)),))</f>
        <v/>
      </c>
      <c r="D46" s="176" t="str">
        <f ca="1">IF(ROWS($1:32)&gt;COUNT(Dong5),"",OFFSET(TH!F$1,SMALL(Dong5,ROWS($1:32)),))</f>
        <v/>
      </c>
      <c r="E46" s="148" t="str">
        <f ca="1">IF(ROWS($1:32)&gt;COUNT(Dong5),"",IF(OFFSET(TH!N$1,SMALL(Dong5,ROWS($1:32)),)=$E$7,OFFSET(TH!O$1,SMALL(Dong5,ROWS($1:32)),),OFFSET(TH!N$1,SMALL(Dong5,ROWS($1:32)),)))</f>
        <v/>
      </c>
      <c r="F46" s="177">
        <f ca="1">IF(ROWS($1:32)&gt;COUNT(Dong5),0,IF(OFFSET(TH!N$1,SMALL(Dong5,ROWS($1:32)),)=$E$7,OFFSET(TH!M$1,SMALL(Dong5,ROWS($1:32)),),0))</f>
        <v>0</v>
      </c>
      <c r="G46" s="175">
        <f ca="1">IF(ROWS($1:32)&gt;COUNT(Dong5),0,IF(OFFSET(TH!O$1,SMALL(Dong5,ROWS($1:32)),)=$E$7,OFFSET(TH!M$1,SMALL(Dong5,ROWS($1:32)),),0))</f>
        <v>0</v>
      </c>
      <c r="H46" s="178">
        <f t="shared" ca="1" si="2"/>
        <v>0</v>
      </c>
      <c r="I46" s="178">
        <f t="shared" ca="1" si="3"/>
        <v>0</v>
      </c>
    </row>
    <row r="47" spans="1:9" s="18" customFormat="1" ht="18" customHeight="1">
      <c r="A47" s="148" t="str">
        <f ca="1">IF(ROWS($1:33)&gt;COUNT(Dong5),"",OFFSET(TH!C$1,SMALL(Dong5,ROWS($1:33)),))</f>
        <v/>
      </c>
      <c r="B47" s="148" t="str">
        <f ca="1">IF(ROWS($1:33)&gt;COUNT(Dong5),"",OFFSET(TH!D$1,SMALL(Dong5,ROWS($1:33)),))</f>
        <v/>
      </c>
      <c r="C47" s="148" t="str">
        <f ca="1">IF(ROWS($1:33)&gt;COUNT(Dong5),"",OFFSET(TH!E$1,SMALL(Dong5,ROWS($1:33)),))</f>
        <v/>
      </c>
      <c r="D47" s="176" t="str">
        <f ca="1">IF(ROWS($1:33)&gt;COUNT(Dong5),"",OFFSET(TH!F$1,SMALL(Dong5,ROWS($1:33)),))</f>
        <v/>
      </c>
      <c r="E47" s="148" t="str">
        <f ca="1">IF(ROWS($1:33)&gt;COUNT(Dong5),"",IF(OFFSET(TH!N$1,SMALL(Dong5,ROWS($1:33)),)=$E$7,OFFSET(TH!O$1,SMALL(Dong5,ROWS($1:33)),),OFFSET(TH!N$1,SMALL(Dong5,ROWS($1:33)),)))</f>
        <v/>
      </c>
      <c r="F47" s="177">
        <f ca="1">IF(ROWS($1:33)&gt;COUNT(Dong5),0,IF(OFFSET(TH!N$1,SMALL(Dong5,ROWS($1:33)),)=$E$7,OFFSET(TH!M$1,SMALL(Dong5,ROWS($1:33)),),0))</f>
        <v>0</v>
      </c>
      <c r="G47" s="175">
        <f ca="1">IF(ROWS($1:33)&gt;COUNT(Dong5),0,IF(OFFSET(TH!O$1,SMALL(Dong5,ROWS($1:33)),)=$E$7,OFFSET(TH!M$1,SMALL(Dong5,ROWS($1:33)),),0))</f>
        <v>0</v>
      </c>
      <c r="H47" s="178">
        <f ca="1">IF(D47&lt;&gt;"",MAX(H46+F47-G47-I46,0),0)</f>
        <v>0</v>
      </c>
      <c r="I47" s="178">
        <f ca="1">IF(D47&lt;&gt;"",MAX(I46+G47-H46-F47,0),0)</f>
        <v>0</v>
      </c>
    </row>
    <row r="48" spans="1:9" s="18" customFormat="1" ht="18" customHeight="1">
      <c r="A48" s="148" t="str">
        <f ca="1">IF(ROWS($1:34)&gt;COUNT(Dong5),"",OFFSET(TH!C$1,SMALL(Dong5,ROWS($1:34)),))</f>
        <v/>
      </c>
      <c r="B48" s="148" t="str">
        <f ca="1">IF(ROWS($1:34)&gt;COUNT(Dong5),"",OFFSET(TH!D$1,SMALL(Dong5,ROWS($1:34)),))</f>
        <v/>
      </c>
      <c r="C48" s="148" t="str">
        <f ca="1">IF(ROWS($1:34)&gt;COUNT(Dong5),"",OFFSET(TH!E$1,SMALL(Dong5,ROWS($1:34)),))</f>
        <v/>
      </c>
      <c r="D48" s="176" t="str">
        <f ca="1">IF(ROWS($1:34)&gt;COUNT(Dong5),"",OFFSET(TH!F$1,SMALL(Dong5,ROWS($1:34)),))</f>
        <v/>
      </c>
      <c r="E48" s="148" t="str">
        <f ca="1">IF(ROWS($1:34)&gt;COUNT(Dong5),"",IF(OFFSET(TH!N$1,SMALL(Dong5,ROWS($1:34)),)=$E$7,OFFSET(TH!O$1,SMALL(Dong5,ROWS($1:34)),),OFFSET(TH!N$1,SMALL(Dong5,ROWS($1:34)),)))</f>
        <v/>
      </c>
      <c r="F48" s="177">
        <f ca="1">IF(ROWS($1:34)&gt;COUNT(Dong5),0,IF(OFFSET(TH!N$1,SMALL(Dong5,ROWS($1:34)),)=$E$7,OFFSET(TH!M$1,SMALL(Dong5,ROWS($1:34)),),0))</f>
        <v>0</v>
      </c>
      <c r="G48" s="175">
        <f ca="1">IF(ROWS($1:34)&gt;COUNT(Dong5),0,IF(OFFSET(TH!O$1,SMALL(Dong5,ROWS($1:34)),)=$E$7,OFFSET(TH!M$1,SMALL(Dong5,ROWS($1:34)),),0))</f>
        <v>0</v>
      </c>
      <c r="H48" s="178">
        <f ca="1">IF(D48&lt;&gt;"",MAX(H47+F48-G48-I47,0),0)</f>
        <v>0</v>
      </c>
      <c r="I48" s="178">
        <f ca="1">IF(D48&lt;&gt;"",MAX(I47+G48-H47-F48,0),0)</f>
        <v>0</v>
      </c>
    </row>
    <row r="49" spans="1:9" s="18" customFormat="1" ht="18" customHeight="1">
      <c r="A49" s="148" t="str">
        <f ca="1">IF(ROWS($1:35)&gt;COUNT(Dong5),"",OFFSET(TH!C$1,SMALL(Dong5,ROWS($1:35)),))</f>
        <v/>
      </c>
      <c r="B49" s="148" t="str">
        <f ca="1">IF(ROWS($1:35)&gt;COUNT(Dong5),"",OFFSET(TH!D$1,SMALL(Dong5,ROWS($1:35)),))</f>
        <v/>
      </c>
      <c r="C49" s="148" t="str">
        <f ca="1">IF(ROWS($1:35)&gt;COUNT(Dong5),"",OFFSET(TH!E$1,SMALL(Dong5,ROWS($1:35)),))</f>
        <v/>
      </c>
      <c r="D49" s="176" t="str">
        <f ca="1">IF(ROWS($1:35)&gt;COUNT(Dong5),"",OFFSET(TH!F$1,SMALL(Dong5,ROWS($1:35)),))</f>
        <v/>
      </c>
      <c r="E49" s="148" t="str">
        <f ca="1">IF(ROWS($1:35)&gt;COUNT(Dong5),"",IF(OFFSET(TH!N$1,SMALL(Dong5,ROWS($1:35)),)=$E$7,OFFSET(TH!O$1,SMALL(Dong5,ROWS($1:35)),),OFFSET(TH!N$1,SMALL(Dong5,ROWS($1:35)),)))</f>
        <v/>
      </c>
      <c r="F49" s="177">
        <f ca="1">IF(ROWS($1:35)&gt;COUNT(Dong5),0,IF(OFFSET(TH!N$1,SMALL(Dong5,ROWS($1:35)),)=$E$7,OFFSET(TH!M$1,SMALL(Dong5,ROWS($1:35)),),0))</f>
        <v>0</v>
      </c>
      <c r="G49" s="175">
        <f ca="1">IF(ROWS($1:35)&gt;COUNT(Dong5),0,IF(OFFSET(TH!O$1,SMALL(Dong5,ROWS($1:35)),)=$E$7,OFFSET(TH!M$1,SMALL(Dong5,ROWS($1:35)),),0))</f>
        <v>0</v>
      </c>
      <c r="H49" s="178">
        <f ca="1">IF(D49&lt;&gt;"",MAX(H48+F49-G49-I48,0),0)</f>
        <v>0</v>
      </c>
      <c r="I49" s="178">
        <f ca="1">IF(D49&lt;&gt;"",MAX(I48+G49-H48-F49,0),0)</f>
        <v>0</v>
      </c>
    </row>
    <row r="50" spans="1:9" s="18" customFormat="1" ht="18" customHeight="1">
      <c r="A50" s="148" t="str">
        <f ca="1">IF(ROWS($1:36)&gt;COUNT(Dong5),"",OFFSET(TH!C$1,SMALL(Dong5,ROWS($1:36)),))</f>
        <v/>
      </c>
      <c r="B50" s="148" t="str">
        <f ca="1">IF(ROWS($1:36)&gt;COUNT(Dong5),"",OFFSET(TH!D$1,SMALL(Dong5,ROWS($1:36)),))</f>
        <v/>
      </c>
      <c r="C50" s="148" t="str">
        <f ca="1">IF(ROWS($1:36)&gt;COUNT(Dong5),"",OFFSET(TH!E$1,SMALL(Dong5,ROWS($1:36)),))</f>
        <v/>
      </c>
      <c r="D50" s="176" t="str">
        <f ca="1">IF(ROWS($1:36)&gt;COUNT(Dong5),"",OFFSET(TH!F$1,SMALL(Dong5,ROWS($1:36)),))</f>
        <v/>
      </c>
      <c r="E50" s="148" t="str">
        <f ca="1">IF(ROWS($1:36)&gt;COUNT(Dong5),"",IF(OFFSET(TH!N$1,SMALL(Dong5,ROWS($1:36)),)=$E$7,OFFSET(TH!O$1,SMALL(Dong5,ROWS($1:36)),),OFFSET(TH!N$1,SMALL(Dong5,ROWS($1:36)),)))</f>
        <v/>
      </c>
      <c r="F50" s="177">
        <f ca="1">IF(ROWS($1:36)&gt;COUNT(Dong5),0,IF(OFFSET(TH!N$1,SMALL(Dong5,ROWS($1:36)),)=$E$7,OFFSET(TH!M$1,SMALL(Dong5,ROWS($1:36)),),0))</f>
        <v>0</v>
      </c>
      <c r="G50" s="175">
        <f ca="1">IF(ROWS($1:36)&gt;COUNT(Dong5),0,IF(OFFSET(TH!O$1,SMALL(Dong5,ROWS($1:36)),)=$E$7,OFFSET(TH!M$1,SMALL(Dong5,ROWS($1:36)),),0))</f>
        <v>0</v>
      </c>
      <c r="H50" s="178">
        <f ca="1">IF(D50&lt;&gt;"",MAX(H49+F50-G50-I49,0),0)</f>
        <v>0</v>
      </c>
      <c r="I50" s="178">
        <f ca="1">IF(D50&lt;&gt;"",MAX(I49+G50-H49-F50,0),0)</f>
        <v>0</v>
      </c>
    </row>
    <row r="51" spans="1:9" s="18" customFormat="1" ht="18" customHeight="1">
      <c r="A51" s="148"/>
      <c r="B51" s="149"/>
      <c r="C51" s="148"/>
      <c r="D51" s="170" t="s">
        <v>75</v>
      </c>
      <c r="E51" s="149" t="s">
        <v>15</v>
      </c>
      <c r="F51" s="179">
        <f ca="1">SUM(F15:F50)</f>
        <v>0</v>
      </c>
      <c r="G51" s="179">
        <f ca="1">SUM(G15:G50)</f>
        <v>0</v>
      </c>
      <c r="H51" s="179" t="s">
        <v>15</v>
      </c>
      <c r="I51" s="179" t="s">
        <v>15</v>
      </c>
    </row>
    <row r="52" spans="1:9" s="18" customFormat="1" ht="18" customHeight="1">
      <c r="A52" s="180"/>
      <c r="B52" s="172"/>
      <c r="C52" s="180"/>
      <c r="D52" s="171" t="s">
        <v>9</v>
      </c>
      <c r="E52" s="172" t="s">
        <v>15</v>
      </c>
      <c r="F52" s="181" t="s">
        <v>15</v>
      </c>
      <c r="G52" s="181" t="s">
        <v>15</v>
      </c>
      <c r="H52" s="182" t="e">
        <f ca="1">MAX(H14+F51-G51-I14,0)</f>
        <v>#REF!</v>
      </c>
      <c r="I52" s="182" t="e">
        <f ca="1">MAX(I14+G51-F51-H14,0)</f>
        <v>#REF!</v>
      </c>
    </row>
    <row r="53" spans="1:9" s="18" customFormat="1" ht="9.75" customHeight="1">
      <c r="A53" s="159"/>
      <c r="B53" s="159"/>
      <c r="C53" s="159"/>
      <c r="E53" s="159"/>
    </row>
    <row r="54" spans="1:9" s="18" customFormat="1" ht="12.75">
      <c r="A54" s="159"/>
      <c r="B54" s="159"/>
      <c r="C54" s="183" t="s">
        <v>92</v>
      </c>
      <c r="E54" s="159"/>
    </row>
    <row r="55" spans="1:9" s="18" customFormat="1" ht="12.75">
      <c r="A55" s="159"/>
      <c r="B55" s="159"/>
      <c r="C55" s="26" t="s">
        <v>87</v>
      </c>
      <c r="E55" s="159"/>
    </row>
    <row r="56" spans="1:9" s="18" customFormat="1" ht="13.5" customHeight="1">
      <c r="A56" s="159"/>
      <c r="B56" s="159"/>
      <c r="C56" s="159"/>
      <c r="E56" s="269" t="s">
        <v>88</v>
      </c>
      <c r="F56" s="269"/>
      <c r="G56" s="269"/>
      <c r="H56" s="269"/>
      <c r="I56" s="269"/>
    </row>
    <row r="57" spans="1:9" s="18" customFormat="1" ht="12.75">
      <c r="A57" s="269" t="s">
        <v>10</v>
      </c>
      <c r="B57" s="269"/>
      <c r="C57" s="269"/>
      <c r="D57" s="269"/>
      <c r="E57" s="269" t="s">
        <v>11</v>
      </c>
      <c r="F57" s="269"/>
      <c r="G57" s="269"/>
      <c r="H57" s="269"/>
      <c r="I57" s="269"/>
    </row>
    <row r="58" spans="1:9" s="18" customFormat="1" ht="12.75">
      <c r="A58" s="269" t="s">
        <v>12</v>
      </c>
      <c r="B58" s="269"/>
      <c r="C58" s="269"/>
      <c r="D58" s="269"/>
      <c r="E58" s="269" t="s">
        <v>12</v>
      </c>
      <c r="F58" s="269"/>
      <c r="G58" s="269"/>
      <c r="H58" s="269"/>
      <c r="I58" s="269"/>
    </row>
    <row r="59" spans="1:9" s="18" customFormat="1" ht="12.75">
      <c r="A59" s="159"/>
      <c r="B59" s="159"/>
      <c r="C59" s="159"/>
      <c r="E59" s="159"/>
    </row>
    <row r="60" spans="1:9">
      <c r="D60" s="140"/>
      <c r="F60" s="141"/>
    </row>
    <row r="65" spans="1:4">
      <c r="A65" s="282" t="s">
        <v>89</v>
      </c>
      <c r="B65" s="282"/>
      <c r="C65" s="282"/>
      <c r="D65" s="282"/>
    </row>
  </sheetData>
  <mergeCells count="18">
    <mergeCell ref="A57:D57"/>
    <mergeCell ref="E57:I57"/>
    <mergeCell ref="A58:D58"/>
    <mergeCell ref="E58:I58"/>
    <mergeCell ref="A65:D65"/>
    <mergeCell ref="E56:I56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"1331,1388,141,2412,3334,33382,3388,4211,4212,515,635,642,711,811,821,911"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40" sqref="B40:H50"/>
      <selection pane="bottomLeft" activeCell="B40" sqref="B40:H50"/>
    </sheetView>
  </sheetViews>
  <sheetFormatPr defaultRowHeight="15"/>
  <cols>
    <col min="1" max="1" width="3.7109375" style="54" customWidth="1"/>
    <col min="2" max="2" width="5.28515625" style="54" customWidth="1"/>
    <col min="3" max="3" width="15.140625" style="54" customWidth="1"/>
    <col min="4" max="4" width="16" style="54" customWidth="1"/>
    <col min="5" max="5" width="3.85546875" style="54" customWidth="1"/>
    <col min="6" max="6" width="6" style="54" customWidth="1"/>
    <col min="7" max="8" width="6.7109375" style="54" customWidth="1"/>
    <col min="9" max="9" width="10.42578125" style="54" customWidth="1"/>
    <col min="10" max="10" width="5.85546875" style="54" customWidth="1"/>
    <col min="11" max="11" width="8.28515625" style="54" customWidth="1"/>
    <col min="12" max="12" width="5" style="54" customWidth="1"/>
    <col min="13" max="13" width="6.42578125" style="54" customWidth="1"/>
    <col min="14" max="14" width="3.140625" style="54" customWidth="1"/>
    <col min="15" max="15" width="6.42578125" style="54" customWidth="1"/>
    <col min="16" max="16" width="5" style="90" customWidth="1"/>
    <col min="17" max="17" width="6.7109375" style="54" customWidth="1"/>
    <col min="18" max="18" width="1.5703125" style="54" customWidth="1"/>
    <col min="19" max="19" width="5.7109375" style="54" customWidth="1"/>
    <col min="20" max="20" width="1.5703125" style="54" customWidth="1"/>
    <col min="21" max="21" width="5" style="54" customWidth="1"/>
    <col min="22" max="22" width="1.5703125" style="54" customWidth="1"/>
    <col min="23" max="23" width="5.5703125" style="54" customWidth="1"/>
  </cols>
  <sheetData>
    <row r="1" spans="1:23" ht="13.5" customHeight="1">
      <c r="B1" s="52" t="s">
        <v>80</v>
      </c>
      <c r="C1" s="63"/>
      <c r="D1" s="53"/>
      <c r="E1" s="53"/>
      <c r="F1" s="53"/>
      <c r="G1" s="53"/>
      <c r="I1" s="55"/>
      <c r="L1" s="56" t="str">
        <f>+IF(LEFT($U$4,1)="T","Mẫu số 01 - TT","Mẫu số 02 - TT")</f>
        <v>Mẫu số 02 - TT</v>
      </c>
      <c r="N1" s="57"/>
      <c r="O1" s="57"/>
      <c r="P1" s="58"/>
      <c r="Q1" s="59"/>
      <c r="R1" s="59"/>
      <c r="S1" s="59"/>
      <c r="T1" s="59"/>
      <c r="U1" s="59"/>
      <c r="V1" s="60"/>
      <c r="W1" s="59"/>
    </row>
    <row r="2" spans="1:23" ht="13.5" customHeight="1">
      <c r="B2" s="63" t="s">
        <v>98</v>
      </c>
      <c r="C2" s="63"/>
      <c r="D2" s="53"/>
      <c r="E2" s="53"/>
      <c r="F2" s="53"/>
      <c r="G2" s="53"/>
      <c r="H2" s="55"/>
      <c r="I2" s="55"/>
      <c r="L2" s="64" t="str">
        <f>IF($Q$4&gt;=2015,"(Ban hành theo Thông tư số 200/2014/TT-BTC ","(Ban hành kèm theo QĐ 48/2006/QĐ-BTC")</f>
        <v>(Ban hành kèm theo QĐ 48/2006/QĐ-BTC</v>
      </c>
      <c r="N2" s="65"/>
      <c r="O2" s="65"/>
      <c r="P2" s="58"/>
      <c r="Q2" s="59"/>
      <c r="R2" s="59"/>
      <c r="S2" s="59"/>
      <c r="T2" s="59"/>
      <c r="U2" s="59"/>
      <c r="V2" s="66"/>
      <c r="W2" s="67" t="s">
        <v>43</v>
      </c>
    </row>
    <row r="3" spans="1:23" ht="13.5" customHeight="1" thickBot="1">
      <c r="B3" s="63"/>
      <c r="C3" s="53"/>
      <c r="D3" s="53"/>
      <c r="E3" s="53"/>
      <c r="G3" s="53"/>
      <c r="I3" s="68"/>
      <c r="L3" s="64" t="str">
        <f>IF($Q$4=2015,"Ngày 22/12/2014 của Bộ Tài chính)","ngày 24/09/2006 của Bộ trưởng BTC)")</f>
        <v>ngày 24/09/2006 của Bộ trưởng BTC)</v>
      </c>
      <c r="N3" s="65"/>
      <c r="O3" s="65"/>
      <c r="P3" s="69"/>
      <c r="Q3" s="193"/>
      <c r="R3" s="145"/>
      <c r="S3" s="146" t="s">
        <v>99</v>
      </c>
      <c r="T3" s="145"/>
      <c r="U3" s="146" t="s">
        <v>44</v>
      </c>
      <c r="V3" s="66"/>
      <c r="W3" s="67" t="s">
        <v>44</v>
      </c>
    </row>
    <row r="4" spans="1:23" ht="22.5" thickBot="1">
      <c r="B4" s="63"/>
      <c r="C4" s="53"/>
      <c r="D4" s="53"/>
      <c r="E4" s="53"/>
      <c r="G4" s="70"/>
      <c r="H4" s="71" t="str">
        <f>IF(LEFT($U$4,1)="T","PHIẾU THU","PHIẾU CHI")</f>
        <v>PHIẾU CHI</v>
      </c>
      <c r="J4" s="70"/>
      <c r="K4" s="72"/>
      <c r="M4" s="72"/>
      <c r="N4" s="72"/>
      <c r="O4" s="72"/>
      <c r="P4" s="73"/>
      <c r="Q4" s="194"/>
      <c r="R4" s="74"/>
      <c r="S4" s="133">
        <v>10</v>
      </c>
      <c r="T4" s="74"/>
      <c r="U4" s="195" t="s">
        <v>4</v>
      </c>
      <c r="V4" s="100"/>
      <c r="W4" s="196">
        <v>10</v>
      </c>
    </row>
    <row r="5" spans="1:23">
      <c r="B5" s="63"/>
      <c r="C5" s="53"/>
      <c r="D5" s="53"/>
      <c r="E5" s="53"/>
      <c r="G5" s="70"/>
      <c r="H5" s="75" t="str">
        <f>IF(ISNA(VLOOKUP($M$7,TM,3,0)),"","Ngày  "&amp;DAY(VLOOKUP($M$7,TM,3,0))&amp;"  tháng  "&amp;MONTH(VLOOKUP($M$7,TM,3,0))&amp;"  năm  "&amp;YEAR(VLOOKUP($M$7,TM,3,0)))</f>
        <v>Ngày  1  tháng  10  năm  2016</v>
      </c>
      <c r="J5" s="70"/>
      <c r="K5" s="72"/>
      <c r="M5" s="72"/>
      <c r="N5" s="72"/>
      <c r="O5" s="72"/>
      <c r="P5" s="73"/>
      <c r="Q5" s="193"/>
      <c r="V5" s="62"/>
      <c r="W5" s="67"/>
    </row>
    <row r="6" spans="1:23" ht="13.5">
      <c r="A6" s="78"/>
      <c r="B6" s="76"/>
      <c r="C6" s="77"/>
      <c r="D6" s="77"/>
      <c r="E6" s="77"/>
      <c r="F6" s="78"/>
      <c r="G6" s="79"/>
      <c r="H6" s="79"/>
      <c r="I6" s="79"/>
      <c r="J6" s="78"/>
      <c r="K6" s="78"/>
      <c r="L6" s="80" t="str">
        <f>"Quyển số: 0"&amp;$S$4</f>
        <v>Quyển số: 010</v>
      </c>
      <c r="M6" s="78"/>
      <c r="N6" s="78"/>
      <c r="O6" s="81"/>
      <c r="P6" s="82"/>
      <c r="Q6" s="78"/>
      <c r="R6" s="78"/>
      <c r="S6" s="78"/>
      <c r="T6" s="78"/>
      <c r="U6" s="78"/>
      <c r="V6" s="83"/>
      <c r="W6" s="67"/>
    </row>
    <row r="7" spans="1:23" ht="13.5" customHeight="1">
      <c r="A7" s="78"/>
      <c r="B7" s="78"/>
      <c r="C7" s="78"/>
      <c r="D7" s="78"/>
      <c r="E7" s="76"/>
      <c r="F7" s="79"/>
      <c r="G7" s="79"/>
      <c r="H7" s="79"/>
      <c r="I7" s="79"/>
      <c r="J7" s="78"/>
      <c r="K7" s="78"/>
      <c r="L7" s="84" t="str">
        <f>"Số :    "</f>
        <v xml:space="preserve">Số :    </v>
      </c>
      <c r="M7" s="85" t="str">
        <f>$U$4&amp;IF($W$4&gt;=10,$W$4,"0"&amp;$W$4)</f>
        <v>C10</v>
      </c>
      <c r="N7" s="81"/>
      <c r="O7" s="81"/>
      <c r="P7" s="82"/>
      <c r="Q7" s="78"/>
      <c r="R7" s="78"/>
      <c r="S7" s="78"/>
      <c r="T7" s="78"/>
      <c r="U7" s="78"/>
      <c r="V7" s="78"/>
      <c r="W7" s="78"/>
    </row>
    <row r="8" spans="1:23" ht="13.5">
      <c r="A8" s="78"/>
      <c r="B8" s="78"/>
      <c r="C8" s="78"/>
      <c r="D8" s="78"/>
      <c r="E8" s="76"/>
      <c r="F8" s="76"/>
      <c r="G8" s="76"/>
      <c r="H8" s="76"/>
      <c r="I8" s="76"/>
      <c r="J8" s="78"/>
      <c r="K8" s="86"/>
      <c r="L8" s="80" t="s">
        <v>45</v>
      </c>
      <c r="M8" s="87">
        <f>IF($U$4="T","1111",IF($U$4="C",IF(ISNA(VLOOKUP($M$7,TM,15,0)),"",VLOOKUP($M$7,TM,14,0)),""))</f>
        <v>0</v>
      </c>
      <c r="N8" s="81"/>
      <c r="O8" s="81"/>
      <c r="P8" s="88"/>
      <c r="Q8" s="78"/>
      <c r="R8" s="78"/>
      <c r="S8" s="78"/>
      <c r="T8" s="78"/>
      <c r="U8" s="78"/>
      <c r="V8" s="78"/>
      <c r="W8" s="78"/>
    </row>
    <row r="9" spans="1:23" ht="13.5">
      <c r="A9" s="78"/>
      <c r="B9" s="78"/>
      <c r="C9" s="78"/>
      <c r="D9" s="78"/>
      <c r="E9" s="76"/>
      <c r="F9" s="76"/>
      <c r="G9" s="76"/>
      <c r="H9" s="76"/>
      <c r="I9" s="76"/>
      <c r="J9" s="78"/>
      <c r="K9" s="86"/>
      <c r="L9" s="84" t="s">
        <v>46</v>
      </c>
      <c r="M9" s="87" t="str">
        <f>IF($U$4="C","1111",IF($U$4="T",IF(ISNA(VLOOKUP($M$7,TM,10,0)),"",VLOOKUP($M$7,TM,11,0)),""))</f>
        <v>1111</v>
      </c>
      <c r="N9" s="81"/>
      <c r="O9" s="81"/>
      <c r="P9" s="88"/>
      <c r="Q9" s="78"/>
      <c r="R9" s="78"/>
      <c r="S9" s="78"/>
      <c r="T9" s="78"/>
      <c r="U9" s="78"/>
      <c r="V9" s="78"/>
      <c r="W9" s="78"/>
    </row>
    <row r="10" spans="1:23">
      <c r="A10" s="78"/>
      <c r="B10" s="78"/>
      <c r="C10" s="89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76"/>
      <c r="E10" s="78"/>
      <c r="F10" s="76"/>
      <c r="G10" s="76"/>
      <c r="H10" s="76"/>
      <c r="I10" s="76"/>
      <c r="J10" s="78"/>
      <c r="K10" s="76"/>
      <c r="L10" s="84"/>
      <c r="M10" s="87"/>
      <c r="N10" s="81"/>
      <c r="O10" s="76"/>
      <c r="P10" s="82"/>
      <c r="Q10" s="78"/>
      <c r="R10" s="78"/>
      <c r="S10" s="78"/>
      <c r="T10" s="78"/>
      <c r="U10" s="78"/>
      <c r="V10" s="78"/>
      <c r="W10" s="78"/>
    </row>
    <row r="11" spans="1:23">
      <c r="C11" s="89" t="str">
        <f>"Địa chỉ :"</f>
        <v>Địa chỉ :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69"/>
    </row>
    <row r="12" spans="1:23">
      <c r="C12" s="89" t="str">
        <f>IF($U$4="T","Lý do nộp :","Lý do chi :")&amp;" "&amp;IF(ISNA(VLOOKUP($M$7,TM,6,0)),"",VLOOKUP($M$7,TM,6,0))</f>
        <v>Lý do chi : Chi phí xuất hàng T8 + T9/16</v>
      </c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</row>
    <row r="13" spans="1:23">
      <c r="C13" s="54" t="s">
        <v>59</v>
      </c>
      <c r="D13" s="91">
        <f ca="1">SUMIF(TM,$M$7,TH)</f>
        <v>6179000</v>
      </c>
      <c r="E13" s="54" t="s">
        <v>47</v>
      </c>
      <c r="F13" s="91"/>
      <c r="G13" s="91"/>
      <c r="P13" s="54"/>
    </row>
    <row r="14" spans="1:23">
      <c r="C14" s="54" t="e">
        <f ca="1">"Viết bằng chữ: " &amp;[2]!VND('IN-TC'!D13, TRUE)</f>
        <v>#NAME?</v>
      </c>
      <c r="P14" s="69"/>
    </row>
    <row r="15" spans="1:23">
      <c r="C15" s="89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2"/>
    </row>
    <row r="16" spans="1:23">
      <c r="K16" s="93"/>
      <c r="L16" s="93"/>
      <c r="M16" s="101" t="str">
        <f>H5</f>
        <v>Ngày  1  tháng  10  năm  2016</v>
      </c>
      <c r="N16" s="93"/>
      <c r="O16" s="93"/>
      <c r="P16" s="54"/>
    </row>
    <row r="17" spans="1:23">
      <c r="C17" s="94" t="s">
        <v>48</v>
      </c>
      <c r="D17" s="95"/>
      <c r="E17" s="94" t="s">
        <v>11</v>
      </c>
      <c r="F17" s="95"/>
      <c r="G17" s="95"/>
      <c r="H17" s="94" t="str">
        <f>IF($U$4="C","Thủ quỹ","Người nộp tiền")</f>
        <v>Thủ quỹ</v>
      </c>
      <c r="J17" s="94" t="s">
        <v>49</v>
      </c>
      <c r="K17" s="95"/>
      <c r="M17" s="96" t="str">
        <f>IF($U$4="T","Thủ quỹ","Người nhận tiền")</f>
        <v>Người nhận tiền</v>
      </c>
      <c r="N17" s="97"/>
      <c r="O17" s="97"/>
      <c r="P17" s="54"/>
    </row>
    <row r="18" spans="1:23">
      <c r="A18" s="95"/>
      <c r="B18" s="95"/>
      <c r="C18" s="98" t="s">
        <v>50</v>
      </c>
      <c r="E18" s="98" t="s">
        <v>51</v>
      </c>
      <c r="H18" s="98" t="s">
        <v>51</v>
      </c>
      <c r="I18" s="95"/>
      <c r="J18" s="98" t="s">
        <v>51</v>
      </c>
      <c r="L18" s="95"/>
      <c r="M18" s="98" t="s">
        <v>51</v>
      </c>
      <c r="P18" s="95"/>
      <c r="Q18" s="95"/>
      <c r="R18" s="95"/>
      <c r="S18" s="95"/>
      <c r="T18" s="95"/>
      <c r="U18" s="95"/>
      <c r="V18" s="95"/>
      <c r="W18" s="95"/>
    </row>
    <row r="19" spans="1:23">
      <c r="P19" s="54"/>
    </row>
    <row r="20" spans="1:23">
      <c r="P20" s="54"/>
    </row>
    <row r="21" spans="1:23">
      <c r="P21" s="54"/>
    </row>
    <row r="22" spans="1:23">
      <c r="P22" s="54"/>
    </row>
    <row r="23" spans="1:23">
      <c r="I23" s="61"/>
      <c r="P23" s="54"/>
    </row>
    <row r="24" spans="1:23">
      <c r="C24" s="158" t="s">
        <v>42</v>
      </c>
      <c r="H24" s="158" t="str">
        <f>IF($U$4="T","","Phạm Thị Đông")</f>
        <v>Phạm Thị Đông</v>
      </c>
      <c r="J24" s="158" t="s">
        <v>89</v>
      </c>
      <c r="M24" s="158" t="str">
        <f>IF($U$4="C","","Phạm Thị Đông")</f>
        <v/>
      </c>
      <c r="P24" s="54"/>
    </row>
    <row r="25" spans="1:23">
      <c r="B25" s="54" t="s">
        <v>52</v>
      </c>
      <c r="P25" s="54"/>
    </row>
    <row r="26" spans="1:23">
      <c r="B26" s="89"/>
      <c r="C26" s="89" t="s">
        <v>53</v>
      </c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54"/>
    </row>
    <row r="27" spans="1:23">
      <c r="B27" s="89"/>
      <c r="C27" s="89" t="s">
        <v>54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54"/>
    </row>
    <row r="46" spans="5:5">
      <c r="E46" s="99"/>
    </row>
    <row r="47" spans="5:5">
      <c r="E47" s="99"/>
    </row>
    <row r="48" spans="5:5">
      <c r="E48" s="99"/>
    </row>
    <row r="49" spans="5:5">
      <c r="E49" s="99"/>
    </row>
    <row r="50" spans="5:5">
      <c r="E50" s="99"/>
    </row>
    <row r="51" spans="5:5">
      <c r="E51" s="99"/>
    </row>
    <row r="52" spans="5:5">
      <c r="E52" s="99"/>
    </row>
    <row r="53" spans="5:5">
      <c r="E53" s="99"/>
    </row>
    <row r="54" spans="5:5">
      <c r="E54" s="99"/>
    </row>
    <row r="55" spans="5:5">
      <c r="E55" s="99"/>
    </row>
    <row r="56" spans="5:5">
      <c r="E56" s="99"/>
    </row>
    <row r="57" spans="5:5">
      <c r="E57" s="99"/>
    </row>
    <row r="58" spans="5:5">
      <c r="E58" s="99"/>
    </row>
    <row r="59" spans="5:5">
      <c r="E59" s="99"/>
    </row>
    <row r="60" spans="5:5">
      <c r="E60" s="99"/>
    </row>
    <row r="61" spans="5:5">
      <c r="E61" s="99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14"/>
  <sheetViews>
    <sheetView topLeftCell="A10" zoomScale="90" workbookViewId="0">
      <pane ySplit="4" topLeftCell="A143" activePane="bottomLeft" state="frozen"/>
      <selection activeCell="B40" sqref="B40:H50"/>
      <selection pane="bottomLeft" activeCell="L11" sqref="L11"/>
    </sheetView>
  </sheetViews>
  <sheetFormatPr defaultRowHeight="15"/>
  <cols>
    <col min="1" max="2" width="8.7109375" style="104" customWidth="1"/>
    <col min="3" max="4" width="6.5703125" style="104" customWidth="1"/>
    <col min="5" max="5" width="38.5703125" style="104" customWidth="1"/>
    <col min="6" max="6" width="6.28515625" style="104" customWidth="1"/>
    <col min="7" max="8" width="16" style="104" customWidth="1"/>
    <col min="9" max="9" width="15.7109375" style="104" customWidth="1"/>
    <col min="10" max="10" width="6.28515625" style="104" customWidth="1"/>
    <col min="11" max="11" width="2.140625" style="104" customWidth="1"/>
    <col min="12" max="12" width="10" style="104" customWidth="1"/>
    <col min="13" max="13" width="3.28515625" style="104" customWidth="1"/>
    <col min="14" max="14" width="9.140625" style="104" customWidth="1"/>
    <col min="15" max="15" width="9.140625" style="104"/>
    <col min="16" max="16" width="12.28515625" style="104" customWidth="1"/>
    <col min="17" max="16384" width="9.140625" style="104"/>
  </cols>
  <sheetData>
    <row r="1" spans="1:16" s="3" customFormat="1" ht="16.5" customHeight="1">
      <c r="A1" s="130" t="s">
        <v>55</v>
      </c>
      <c r="B1" s="2"/>
      <c r="C1" s="2"/>
      <c r="D1" s="2"/>
      <c r="E1" s="2"/>
      <c r="G1" s="272" t="s">
        <v>60</v>
      </c>
      <c r="H1" s="272"/>
      <c r="I1" s="272"/>
      <c r="J1" s="272"/>
    </row>
    <row r="2" spans="1:16" s="3" customFormat="1" ht="16.5" customHeight="1">
      <c r="A2" s="89" t="s">
        <v>56</v>
      </c>
      <c r="B2" s="16"/>
      <c r="C2" s="16"/>
      <c r="D2" s="16"/>
      <c r="E2" s="16"/>
      <c r="G2" s="273" t="s">
        <v>61</v>
      </c>
      <c r="H2" s="273"/>
      <c r="I2" s="273"/>
      <c r="J2" s="273"/>
    </row>
    <row r="3" spans="1:16" s="3" customFormat="1" ht="16.5" customHeight="1">
      <c r="A3" s="4"/>
      <c r="B3" s="16"/>
      <c r="C3" s="102"/>
      <c r="D3" s="102"/>
      <c r="E3" s="16"/>
      <c r="G3" s="273"/>
      <c r="H3" s="273"/>
      <c r="I3" s="273"/>
      <c r="J3" s="273"/>
    </row>
    <row r="4" spans="1:16" s="3" customFormat="1" ht="6.75" customHeight="1">
      <c r="A4" s="16"/>
      <c r="B4" s="16"/>
      <c r="C4" s="16"/>
      <c r="D4" s="16"/>
      <c r="E4" s="16"/>
      <c r="G4" s="103"/>
      <c r="H4" s="103"/>
      <c r="I4" s="103"/>
      <c r="J4" s="103"/>
    </row>
    <row r="5" spans="1:16" ht="24.75" customHeight="1">
      <c r="A5" s="286" t="s">
        <v>62</v>
      </c>
      <c r="B5" s="286"/>
      <c r="C5" s="286"/>
      <c r="D5" s="286"/>
      <c r="E5" s="286"/>
      <c r="F5" s="286"/>
      <c r="G5" s="286"/>
      <c r="H5" s="286"/>
      <c r="I5" s="286"/>
      <c r="J5" s="286"/>
    </row>
    <row r="6" spans="1:16" ht="14.25" customHeight="1">
      <c r="A6" s="288" t="str">
        <f>$L$11&amp;" / 2015"</f>
        <v>11 / 2015</v>
      </c>
      <c r="B6" s="288"/>
      <c r="C6" s="288"/>
      <c r="D6" s="288"/>
      <c r="E6" s="288"/>
      <c r="F6" s="288"/>
      <c r="G6" s="288"/>
      <c r="H6" s="288"/>
      <c r="I6" s="288"/>
      <c r="J6" s="288"/>
    </row>
    <row r="7" spans="1:16">
      <c r="A7" s="287" t="s">
        <v>63</v>
      </c>
      <c r="B7" s="287"/>
      <c r="C7" s="287"/>
      <c r="D7" s="287"/>
      <c r="E7" s="287"/>
      <c r="F7" s="287"/>
      <c r="G7" s="287"/>
      <c r="H7" s="287"/>
      <c r="I7" s="287"/>
      <c r="J7" s="287"/>
    </row>
    <row r="8" spans="1:16">
      <c r="A8" s="287" t="s">
        <v>64</v>
      </c>
      <c r="B8" s="287"/>
      <c r="C8" s="287"/>
      <c r="D8" s="287"/>
      <c r="E8" s="287"/>
      <c r="F8" s="287"/>
      <c r="G8" s="287"/>
      <c r="H8" s="287"/>
      <c r="I8" s="287"/>
      <c r="J8" s="287"/>
    </row>
    <row r="9" spans="1:16">
      <c r="A9" s="105"/>
      <c r="I9" s="105" t="s">
        <v>65</v>
      </c>
    </row>
    <row r="10" spans="1:16" ht="33" customHeight="1" thickBot="1">
      <c r="A10" s="284" t="s">
        <v>16</v>
      </c>
      <c r="B10" s="284" t="s">
        <v>66</v>
      </c>
      <c r="C10" s="283" t="s">
        <v>67</v>
      </c>
      <c r="D10" s="283"/>
      <c r="E10" s="283" t="s">
        <v>0</v>
      </c>
      <c r="F10" s="284" t="s">
        <v>13</v>
      </c>
      <c r="G10" s="283" t="s">
        <v>17</v>
      </c>
      <c r="H10" s="283"/>
      <c r="I10" s="283" t="s">
        <v>68</v>
      </c>
      <c r="J10" s="283" t="s">
        <v>69</v>
      </c>
      <c r="L10" s="131"/>
      <c r="O10" s="104" t="s">
        <v>103</v>
      </c>
      <c r="P10" s="199">
        <v>26955000</v>
      </c>
    </row>
    <row r="11" spans="1:16" ht="24" customHeight="1" thickBot="1">
      <c r="A11" s="285"/>
      <c r="B11" s="285"/>
      <c r="C11" s="106" t="s">
        <v>70</v>
      </c>
      <c r="D11" s="106" t="s">
        <v>71</v>
      </c>
      <c r="E11" s="283"/>
      <c r="F11" s="285"/>
      <c r="G11" s="106" t="s">
        <v>18</v>
      </c>
      <c r="H11" s="106" t="s">
        <v>19</v>
      </c>
      <c r="I11" s="283"/>
      <c r="J11" s="283"/>
      <c r="L11" s="133">
        <v>11</v>
      </c>
    </row>
    <row r="12" spans="1:16" s="107" customFormat="1" ht="11.25" customHeight="1">
      <c r="A12" s="108" t="s">
        <v>2</v>
      </c>
      <c r="B12" s="108" t="s">
        <v>3</v>
      </c>
      <c r="C12" s="108" t="s">
        <v>4</v>
      </c>
      <c r="D12" s="108" t="s">
        <v>5</v>
      </c>
      <c r="E12" s="108" t="s">
        <v>6</v>
      </c>
      <c r="F12" s="108" t="s">
        <v>72</v>
      </c>
      <c r="G12" s="108">
        <v>1</v>
      </c>
      <c r="H12" s="108">
        <v>2</v>
      </c>
      <c r="I12" s="108">
        <v>3</v>
      </c>
      <c r="J12" s="108" t="s">
        <v>73</v>
      </c>
    </row>
    <row r="13" spans="1:16" s="109" customFormat="1" ht="19.5" customHeight="1">
      <c r="A13" s="110"/>
      <c r="B13" s="110"/>
      <c r="C13" s="110"/>
      <c r="D13" s="110"/>
      <c r="E13" s="110" t="s">
        <v>74</v>
      </c>
      <c r="F13" s="111"/>
      <c r="G13" s="112"/>
      <c r="H13" s="110"/>
      <c r="I13" s="132">
        <f>IF($L$11="All",$P$10,P10+SUMIF(_N111,"x",TH)-SUMIF(_C111,"x",TH))</f>
        <v>15287000</v>
      </c>
      <c r="J13" s="110"/>
    </row>
    <row r="14" spans="1:16" ht="19.5" customHeight="1">
      <c r="A14" s="113">
        <f ca="1">IF(ROWS($1:1)&gt;COUNT(Dong1),"",OFFSET(TH!C$1,SMALL(Dong1,ROWS($1:1)),))</f>
        <v>42675</v>
      </c>
      <c r="B14" s="113">
        <f ca="1">IF(ROWS($1:1)&gt;COUNT(Dong1),"",OFFSET(TH!E$1,SMALL(Dong1,ROWS($1:1)),))</f>
        <v>42675</v>
      </c>
      <c r="C14" s="114" t="str">
        <f ca="1">IF(ROWS($1:1)&gt;COUNT(Dong1),"",IF(OFFSET(TH!N$1,SMALL(Dong1,ROWS($1:1)),)="1111",OFFSET(TH!D$1,SMALL(Dong1,ROWS($1:1)),),""))</f>
        <v>T01</v>
      </c>
      <c r="D14" s="115" t="str">
        <f ca="1">IF(ROWS($1:1)&gt;COUNT(Dong1),"",IF(OFFSET(TH!O$1,SMALL(Dong1,ROWS($1:1)),)="1111",OFFSET(TH!D$1,SMALL(Dong1,ROWS($1:1)),),""))</f>
        <v/>
      </c>
      <c r="E14" s="166" t="str">
        <f ca="1">IF(ROWS($1:1)&gt;COUNT(Dong1),"",OFFSET(TH!F$1,SMALL(Dong1,ROWS($1:1)),))</f>
        <v>Thu tiền Pvcombank</v>
      </c>
      <c r="F14" s="117">
        <f ca="1">IF(ROWS($1:1)&gt;COUNT(Dong1),"",IF(OFFSET(TH!O$1,SMALL(Dong1,ROWS($1:1)),)="1111",OFFSET(TH!N$1,SMALL(Dong1,ROWS($1:1)),),OFFSET(TH!O$1,SMALL(Dong1,ROWS($1:1)),)))</f>
        <v>0</v>
      </c>
      <c r="G14" s="118">
        <f ca="1">IF(ROWS($1:1)&gt;COUNT(Dong1),"",IF(OFFSET(TH!N$1,SMALL(Dong1,ROWS($1:1)),)="1111",OFFSET(TH!M$1,SMALL(Dong1,ROWS($1:1)),),0))</f>
        <v>800000000</v>
      </c>
      <c r="H14" s="116">
        <f ca="1">IF(ROWS($1:1)&gt;COUNT(Dong1),"",IF(OFFSET(TH!O$1,SMALL(Dong1,ROWS($1:1)),)="1111",OFFSET(TH!M$1,SMALL(Dong1,ROWS($1:1)),),0))</f>
        <v>0</v>
      </c>
      <c r="I14" s="114">
        <f ca="1">IF(E14&lt;&gt;"",I13+G14-H14,0)</f>
        <v>815287000</v>
      </c>
      <c r="J14" s="119"/>
    </row>
    <row r="15" spans="1:16" ht="19.5" customHeight="1">
      <c r="A15" s="113">
        <f ca="1">IF(ROWS($1:2)&gt;COUNT(Dong1),"",OFFSET(TH!C$1,SMALL(Dong1,ROWS($1:2)),))</f>
        <v>42675</v>
      </c>
      <c r="B15" s="113">
        <f ca="1">IF(ROWS($1:2)&gt;COUNT(Dong1),"",OFFSET(TH!E$1,SMALL(Dong1,ROWS($1:2)),))</f>
        <v>42675</v>
      </c>
      <c r="C15" s="114" t="str">
        <f ca="1">IF(ROWS($1:2)&gt;COUNT(Dong1),"",IF(OFFSET(TH!N$1,SMALL(Dong1,ROWS($1:2)),)="1111",OFFSET(TH!D$1,SMALL(Dong1,ROWS($1:2)),),""))</f>
        <v/>
      </c>
      <c r="D15" s="115" t="str">
        <f ca="1">IF(ROWS($1:2)&gt;COUNT(Dong1),"",IF(OFFSET(TH!O$1,SMALL(Dong1,ROWS($1:2)),)="1111",OFFSET(TH!D$1,SMALL(Dong1,ROWS($1:2)),),""))</f>
        <v>C01</v>
      </c>
      <c r="E15" s="166" t="str">
        <f ca="1">IF(ROWS($1:2)&gt;COUNT(Dong1),"",OFFSET(TH!F$1,SMALL(Dong1,ROWS($1:2)),))</f>
        <v>Trả tiền cá</v>
      </c>
      <c r="F15" s="117" t="str">
        <f ca="1">IF(ROWS($1:2)&gt;COUNT(Dong1),"",IF(OFFSET(TH!O$1,SMALL(Dong1,ROWS($1:2)),)="1111",OFFSET(TH!N$1,SMALL(Dong1,ROWS($1:2)),),OFFSET(TH!O$1,SMALL(Dong1,ROWS($1:2)),)))</f>
        <v>331</v>
      </c>
      <c r="G15" s="118">
        <f ca="1">IF(ROWS($1:2)&gt;COUNT(Dong1),"",IF(OFFSET(TH!N$1,SMALL(Dong1,ROWS($1:2)),)="1111",OFFSET(TH!M$1,SMALL(Dong1,ROWS($1:2)),),0))</f>
        <v>0</v>
      </c>
      <c r="H15" s="116">
        <f ca="1">IF(ROWS($1:2)&gt;COUNT(Dong1),"",IF(OFFSET(TH!O$1,SMALL(Dong1,ROWS($1:2)),)="1111",OFFSET(TH!M$1,SMALL(Dong1,ROWS($1:2)),),0))</f>
        <v>222926000</v>
      </c>
      <c r="I15" s="114">
        <f t="shared" ref="I15:I78" ca="1" si="0">IF(E15&lt;&gt;"",I14+G15-H15,0)</f>
        <v>592361000</v>
      </c>
      <c r="J15" s="119"/>
    </row>
    <row r="16" spans="1:16" ht="19.5" customHeight="1">
      <c r="A16" s="113">
        <f ca="1">IF(ROWS($1:3)&gt;COUNT(Dong1),"",OFFSET(TH!C$1,SMALL(Dong1,ROWS($1:3)),))</f>
        <v>42675</v>
      </c>
      <c r="B16" s="113">
        <f ca="1">IF(ROWS($1:3)&gt;COUNT(Dong1),"",OFFSET(TH!E$1,SMALL(Dong1,ROWS($1:3)),))</f>
        <v>42675</v>
      </c>
      <c r="C16" s="114" t="str">
        <f ca="1">IF(ROWS($1:3)&gt;COUNT(Dong1),"",IF(OFFSET(TH!N$1,SMALL(Dong1,ROWS($1:3)),)="1111",OFFSET(TH!D$1,SMALL(Dong1,ROWS($1:3)),),""))</f>
        <v/>
      </c>
      <c r="D16" s="115" t="str">
        <f ca="1">IF(ROWS($1:3)&gt;COUNT(Dong1),"",IF(OFFSET(TH!O$1,SMALL(Dong1,ROWS($1:3)),)="1111",OFFSET(TH!D$1,SMALL(Dong1,ROWS($1:3)),),""))</f>
        <v>C02</v>
      </c>
      <c r="E16" s="166" t="str">
        <f ca="1">IF(ROWS($1:3)&gt;COUNT(Dong1),"",OFFSET(TH!F$1,SMALL(Dong1,ROWS($1:3)),))</f>
        <v>Trả tiền cá</v>
      </c>
      <c r="F16" s="117" t="str">
        <f ca="1">IF(ROWS($1:3)&gt;COUNT(Dong1),"",IF(OFFSET(TH!O$1,SMALL(Dong1,ROWS($1:3)),)="1111",OFFSET(TH!N$1,SMALL(Dong1,ROWS($1:3)),),OFFSET(TH!O$1,SMALL(Dong1,ROWS($1:3)),)))</f>
        <v>331</v>
      </c>
      <c r="G16" s="118">
        <f ca="1">IF(ROWS($1:3)&gt;COUNT(Dong1),"",IF(OFFSET(TH!N$1,SMALL(Dong1,ROWS($1:3)),)="1111",OFFSET(TH!M$1,SMALL(Dong1,ROWS($1:3)),),0))</f>
        <v>0</v>
      </c>
      <c r="H16" s="116">
        <f ca="1">IF(ROWS($1:3)&gt;COUNT(Dong1),"",IF(OFFSET(TH!O$1,SMALL(Dong1,ROWS($1:3)),)="1111",OFFSET(TH!M$1,SMALL(Dong1,ROWS($1:3)),),0))</f>
        <v>200000000</v>
      </c>
      <c r="I16" s="114">
        <f t="shared" ca="1" si="0"/>
        <v>392361000</v>
      </c>
      <c r="J16" s="119"/>
    </row>
    <row r="17" spans="1:10" ht="19.5" customHeight="1">
      <c r="A17" s="113">
        <f ca="1">IF(ROWS($1:4)&gt;COUNT(Dong1),"",OFFSET(TH!C$1,SMALL(Dong1,ROWS($1:4)),))</f>
        <v>42675</v>
      </c>
      <c r="B17" s="113">
        <f ca="1">IF(ROWS($1:4)&gt;COUNT(Dong1),"",OFFSET(TH!E$1,SMALL(Dong1,ROWS($1:4)),))</f>
        <v>42675</v>
      </c>
      <c r="C17" s="114" t="str">
        <f ca="1">IF(ROWS($1:4)&gt;COUNT(Dong1),"",IF(OFFSET(TH!N$1,SMALL(Dong1,ROWS($1:4)),)="1111",OFFSET(TH!D$1,SMALL(Dong1,ROWS($1:4)),),""))</f>
        <v/>
      </c>
      <c r="D17" s="115" t="str">
        <f ca="1">IF(ROWS($1:4)&gt;COUNT(Dong1),"",IF(OFFSET(TH!O$1,SMALL(Dong1,ROWS($1:4)),)="1111",OFFSET(TH!D$1,SMALL(Dong1,ROWS($1:4)),),""))</f>
        <v>C03</v>
      </c>
      <c r="E17" s="166" t="str">
        <f ca="1">IF(ROWS($1:4)&gt;COUNT(Dong1),"",OFFSET(TH!F$1,SMALL(Dong1,ROWS($1:4)),))</f>
        <v>Trả tiền cá</v>
      </c>
      <c r="F17" s="117" t="str">
        <f ca="1">IF(ROWS($1:4)&gt;COUNT(Dong1),"",IF(OFFSET(TH!O$1,SMALL(Dong1,ROWS($1:4)),)="1111",OFFSET(TH!N$1,SMALL(Dong1,ROWS($1:4)),),OFFSET(TH!O$1,SMALL(Dong1,ROWS($1:4)),)))</f>
        <v>331</v>
      </c>
      <c r="G17" s="118">
        <f ca="1">IF(ROWS($1:4)&gt;COUNT(Dong1),"",IF(OFFSET(TH!N$1,SMALL(Dong1,ROWS($1:4)),)="1111",OFFSET(TH!M$1,SMALL(Dong1,ROWS($1:4)),),0))</f>
        <v>0</v>
      </c>
      <c r="H17" s="116">
        <f ca="1">IF(ROWS($1:4)&gt;COUNT(Dong1),"",IF(OFFSET(TH!O$1,SMALL(Dong1,ROWS($1:4)),)="1111",OFFSET(TH!M$1,SMALL(Dong1,ROWS($1:4)),),0))</f>
        <v>200000000</v>
      </c>
      <c r="I17" s="114">
        <f t="shared" ca="1" si="0"/>
        <v>192361000</v>
      </c>
      <c r="J17" s="119"/>
    </row>
    <row r="18" spans="1:10" ht="19.5" customHeight="1">
      <c r="A18" s="113">
        <f ca="1">IF(ROWS($1:5)&gt;COUNT(Dong1),"",OFFSET(TH!C$1,SMALL(Dong1,ROWS($1:5)),))</f>
        <v>42675</v>
      </c>
      <c r="B18" s="113">
        <f ca="1">IF(ROWS($1:5)&gt;COUNT(Dong1),"",OFFSET(TH!E$1,SMALL(Dong1,ROWS($1:5)),))</f>
        <v>42675</v>
      </c>
      <c r="C18" s="114" t="str">
        <f ca="1">IF(ROWS($1:5)&gt;COUNT(Dong1),"",IF(OFFSET(TH!N$1,SMALL(Dong1,ROWS($1:5)),)="1111",OFFSET(TH!D$1,SMALL(Dong1,ROWS($1:5)),),""))</f>
        <v/>
      </c>
      <c r="D18" s="115" t="str">
        <f ca="1">IF(ROWS($1:5)&gt;COUNT(Dong1),"",IF(OFFSET(TH!O$1,SMALL(Dong1,ROWS($1:5)),)="1111",OFFSET(TH!D$1,SMALL(Dong1,ROWS($1:5)),),""))</f>
        <v>C03</v>
      </c>
      <c r="E18" s="166" t="str">
        <f ca="1">IF(ROWS($1:5)&gt;COUNT(Dong1),"",OFFSET(TH!F$1,SMALL(Dong1,ROWS($1:5)),))</f>
        <v>Phí chuyển tiền</v>
      </c>
      <c r="F18" s="117">
        <f ca="1">IF(ROWS($1:5)&gt;COUNT(Dong1),"",IF(OFFSET(TH!O$1,SMALL(Dong1,ROWS($1:5)),)="1111",OFFSET(TH!N$1,SMALL(Dong1,ROWS($1:5)),),OFFSET(TH!O$1,SMALL(Dong1,ROWS($1:5)),)))</f>
        <v>0</v>
      </c>
      <c r="G18" s="118">
        <f ca="1">IF(ROWS($1:5)&gt;COUNT(Dong1),"",IF(OFFSET(TH!N$1,SMALL(Dong1,ROWS($1:5)),)="1111",OFFSET(TH!M$1,SMALL(Dong1,ROWS($1:5)),),0))</f>
        <v>0</v>
      </c>
      <c r="H18" s="116">
        <f ca="1">IF(ROWS($1:5)&gt;COUNT(Dong1),"",IF(OFFSET(TH!O$1,SMALL(Dong1,ROWS($1:5)),)="1111",OFFSET(TH!M$1,SMALL(Dong1,ROWS($1:5)),),0))</f>
        <v>66000</v>
      </c>
      <c r="I18" s="114">
        <f t="shared" ca="1" si="0"/>
        <v>192295000</v>
      </c>
      <c r="J18" s="119"/>
    </row>
    <row r="19" spans="1:10" ht="19.5" customHeight="1">
      <c r="A19" s="113">
        <f ca="1">IF(ROWS($1:6)&gt;COUNT(Dong1),"",OFFSET(TH!C$1,SMALL(Dong1,ROWS($1:6)),))</f>
        <v>42675</v>
      </c>
      <c r="B19" s="113">
        <f ca="1">IF(ROWS($1:6)&gt;COUNT(Dong1),"",OFFSET(TH!E$1,SMALL(Dong1,ROWS($1:6)),))</f>
        <v>42675</v>
      </c>
      <c r="C19" s="114" t="str">
        <f ca="1">IF(ROWS($1:6)&gt;COUNT(Dong1),"",IF(OFFSET(TH!N$1,SMALL(Dong1,ROWS($1:6)),)="1111",OFFSET(TH!D$1,SMALL(Dong1,ROWS($1:6)),),""))</f>
        <v/>
      </c>
      <c r="D19" s="115" t="str">
        <f ca="1">IF(ROWS($1:6)&gt;COUNT(Dong1),"",IF(OFFSET(TH!O$1,SMALL(Dong1,ROWS($1:6)),)="1111",OFFSET(TH!D$1,SMALL(Dong1,ROWS($1:6)),),""))</f>
        <v>C04</v>
      </c>
      <c r="E19" s="166" t="str">
        <f ca="1">IF(ROWS($1:6)&gt;COUNT(Dong1),"",OFFSET(TH!F$1,SMALL(Dong1,ROWS($1:6)),))</f>
        <v>Mua màu thực phẩm</v>
      </c>
      <c r="F19" s="117">
        <f ca="1">IF(ROWS($1:6)&gt;COUNT(Dong1),"",IF(OFFSET(TH!O$1,SMALL(Dong1,ROWS($1:6)),)="1111",OFFSET(TH!N$1,SMALL(Dong1,ROWS($1:6)),),OFFSET(TH!O$1,SMALL(Dong1,ROWS($1:6)),)))</f>
        <v>0</v>
      </c>
      <c r="G19" s="118">
        <f ca="1">IF(ROWS($1:6)&gt;COUNT(Dong1),"",IF(OFFSET(TH!N$1,SMALL(Dong1,ROWS($1:6)),)="1111",OFFSET(TH!M$1,SMALL(Dong1,ROWS($1:6)),),0))</f>
        <v>0</v>
      </c>
      <c r="H19" s="116">
        <f ca="1">IF(ROWS($1:6)&gt;COUNT(Dong1),"",IF(OFFSET(TH!O$1,SMALL(Dong1,ROWS($1:6)),)="1111",OFFSET(TH!M$1,SMALL(Dong1,ROWS($1:6)),),0))</f>
        <v>6428000</v>
      </c>
      <c r="I19" s="114">
        <f t="shared" ca="1" si="0"/>
        <v>185867000</v>
      </c>
      <c r="J19" s="119"/>
    </row>
    <row r="20" spans="1:10" ht="19.5" customHeight="1">
      <c r="A20" s="113">
        <f ca="1">IF(ROWS($1:7)&gt;COUNT(Dong1),"",OFFSET(TH!C$1,SMALL(Dong1,ROWS($1:7)),))</f>
        <v>42675</v>
      </c>
      <c r="B20" s="113">
        <f ca="1">IF(ROWS($1:7)&gt;COUNT(Dong1),"",OFFSET(TH!E$1,SMALL(Dong1,ROWS($1:7)),))</f>
        <v>42675</v>
      </c>
      <c r="C20" s="114" t="str">
        <f ca="1">IF(ROWS($1:7)&gt;COUNT(Dong1),"",IF(OFFSET(TH!N$1,SMALL(Dong1,ROWS($1:7)),)="1111",OFFSET(TH!D$1,SMALL(Dong1,ROWS($1:7)),),""))</f>
        <v/>
      </c>
      <c r="D20" s="115" t="str">
        <f ca="1">IF(ROWS($1:7)&gt;COUNT(Dong1),"",IF(OFFSET(TH!O$1,SMALL(Dong1,ROWS($1:7)),)="1111",OFFSET(TH!D$1,SMALL(Dong1,ROWS($1:7)),),""))</f>
        <v>C05</v>
      </c>
      <c r="E20" s="166" t="str">
        <f ca="1">IF(ROWS($1:7)&gt;COUNT(Dong1),"",OFFSET(TH!F$1,SMALL(Dong1,ROWS($1:7)),))</f>
        <v>Chi phí đám dổ</v>
      </c>
      <c r="F20" s="117">
        <f ca="1">IF(ROWS($1:7)&gt;COUNT(Dong1),"",IF(OFFSET(TH!O$1,SMALL(Dong1,ROWS($1:7)),)="1111",OFFSET(TH!N$1,SMALL(Dong1,ROWS($1:7)),),OFFSET(TH!O$1,SMALL(Dong1,ROWS($1:7)),)))</f>
        <v>0</v>
      </c>
      <c r="G20" s="118">
        <f ca="1">IF(ROWS($1:7)&gt;COUNT(Dong1),"",IF(OFFSET(TH!N$1,SMALL(Dong1,ROWS($1:7)),)="1111",OFFSET(TH!M$1,SMALL(Dong1,ROWS($1:7)),),0))</f>
        <v>0</v>
      </c>
      <c r="H20" s="116">
        <f ca="1">IF(ROWS($1:7)&gt;COUNT(Dong1),"",IF(OFFSET(TH!O$1,SMALL(Dong1,ROWS($1:7)),)="1111",OFFSET(TH!M$1,SMALL(Dong1,ROWS($1:7)),),0))</f>
        <v>10000000</v>
      </c>
      <c r="I20" s="114">
        <f t="shared" ca="1" si="0"/>
        <v>175867000</v>
      </c>
      <c r="J20" s="119"/>
    </row>
    <row r="21" spans="1:10" ht="19.5" customHeight="1">
      <c r="A21" s="113">
        <f ca="1">IF(ROWS($1:8)&gt;COUNT(Dong1),"",OFFSET(TH!C$1,SMALL(Dong1,ROWS($1:8)),))</f>
        <v>42675</v>
      </c>
      <c r="B21" s="113">
        <f ca="1">IF(ROWS($1:8)&gt;COUNT(Dong1),"",OFFSET(TH!E$1,SMALL(Dong1,ROWS($1:8)),))</f>
        <v>42675</v>
      </c>
      <c r="C21" s="114" t="str">
        <f ca="1">IF(ROWS($1:8)&gt;COUNT(Dong1),"",IF(OFFSET(TH!N$1,SMALL(Dong1,ROWS($1:8)),)="1111",OFFSET(TH!D$1,SMALL(Dong1,ROWS($1:8)),),""))</f>
        <v/>
      </c>
      <c r="D21" s="115" t="str">
        <f ca="1">IF(ROWS($1:8)&gt;COUNT(Dong1),"",IF(OFFSET(TH!O$1,SMALL(Dong1,ROWS($1:8)),)="1111",OFFSET(TH!D$1,SMALL(Dong1,ROWS($1:8)),),""))</f>
        <v>C06</v>
      </c>
      <c r="E21" s="166" t="str">
        <f ca="1">IF(ROWS($1:8)&gt;COUNT(Dong1),"",OFFSET(TH!F$1,SMALL(Dong1,ROWS($1:8)),))</f>
        <v>Thay nhớt xe 51A-14174</v>
      </c>
      <c r="F21" s="117">
        <f ca="1">IF(ROWS($1:8)&gt;COUNT(Dong1),"",IF(OFFSET(TH!O$1,SMALL(Dong1,ROWS($1:8)),)="1111",OFFSET(TH!N$1,SMALL(Dong1,ROWS($1:8)),),OFFSET(TH!O$1,SMALL(Dong1,ROWS($1:8)),)))</f>
        <v>0</v>
      </c>
      <c r="G21" s="118">
        <f ca="1">IF(ROWS($1:8)&gt;COUNT(Dong1),"",IF(OFFSET(TH!N$1,SMALL(Dong1,ROWS($1:8)),)="1111",OFFSET(TH!M$1,SMALL(Dong1,ROWS($1:8)),),0))</f>
        <v>0</v>
      </c>
      <c r="H21" s="116">
        <f ca="1">IF(ROWS($1:8)&gt;COUNT(Dong1),"",IF(OFFSET(TH!O$1,SMALL(Dong1,ROWS($1:8)),)="1111",OFFSET(TH!M$1,SMALL(Dong1,ROWS($1:8)),),0))</f>
        <v>2000000</v>
      </c>
      <c r="I21" s="114">
        <f t="shared" ca="1" si="0"/>
        <v>173867000</v>
      </c>
      <c r="J21" s="119"/>
    </row>
    <row r="22" spans="1:10" ht="19.5" customHeight="1">
      <c r="A22" s="113">
        <f ca="1">IF(ROWS($1:9)&gt;COUNT(Dong1),"",OFFSET(TH!C$1,SMALL(Dong1,ROWS($1:9)),))</f>
        <v>42675</v>
      </c>
      <c r="B22" s="113">
        <f ca="1">IF(ROWS($1:9)&gt;COUNT(Dong1),"",OFFSET(TH!E$1,SMALL(Dong1,ROWS($1:9)),))</f>
        <v>42675</v>
      </c>
      <c r="C22" s="114" t="str">
        <f ca="1">IF(ROWS($1:9)&gt;COUNT(Dong1),"",IF(OFFSET(TH!N$1,SMALL(Dong1,ROWS($1:9)),)="1111",OFFSET(TH!D$1,SMALL(Dong1,ROWS($1:9)),),""))</f>
        <v/>
      </c>
      <c r="D22" s="115" t="str">
        <f ca="1">IF(ROWS($1:9)&gt;COUNT(Dong1),"",IF(OFFSET(TH!O$1,SMALL(Dong1,ROWS($1:9)),)="1111",OFFSET(TH!D$1,SMALL(Dong1,ROWS($1:9)),),""))</f>
        <v>C07</v>
      </c>
      <c r="E22" s="166" t="str">
        <f ca="1">IF(ROWS($1:9)&gt;COUNT(Dong1),"",OFFSET(TH!F$1,SMALL(Dong1,ROWS($1:9)),))</f>
        <v>Lãi vay</v>
      </c>
      <c r="F22" s="117">
        <f ca="1">IF(ROWS($1:9)&gt;COUNT(Dong1),"",IF(OFFSET(TH!O$1,SMALL(Dong1,ROWS($1:9)),)="1111",OFFSET(TH!N$1,SMALL(Dong1,ROWS($1:9)),),OFFSET(TH!O$1,SMALL(Dong1,ROWS($1:9)),)))</f>
        <v>0</v>
      </c>
      <c r="G22" s="118">
        <f ca="1">IF(ROWS($1:9)&gt;COUNT(Dong1),"",IF(OFFSET(TH!N$1,SMALL(Dong1,ROWS($1:9)),)="1111",OFFSET(TH!M$1,SMALL(Dong1,ROWS($1:9)),),0))</f>
        <v>0</v>
      </c>
      <c r="H22" s="116">
        <f ca="1">IF(ROWS($1:9)&gt;COUNT(Dong1),"",IF(OFFSET(TH!O$1,SMALL(Dong1,ROWS($1:9)),)="1111",OFFSET(TH!M$1,SMALL(Dong1,ROWS($1:9)),),0))</f>
        <v>10517000</v>
      </c>
      <c r="I22" s="114">
        <f t="shared" ca="1" si="0"/>
        <v>163350000</v>
      </c>
      <c r="J22" s="119"/>
    </row>
    <row r="23" spans="1:10" ht="19.5" customHeight="1">
      <c r="A23" s="113">
        <f ca="1">IF(ROWS($1:10)&gt;COUNT(Dong1),"",OFFSET(TH!C$1,SMALL(Dong1,ROWS($1:10)),))</f>
        <v>42675</v>
      </c>
      <c r="B23" s="113">
        <f ca="1">IF(ROWS($1:10)&gt;COUNT(Dong1),"",OFFSET(TH!E$1,SMALL(Dong1,ROWS($1:10)),))</f>
        <v>42675</v>
      </c>
      <c r="C23" s="114" t="str">
        <f ca="1">IF(ROWS($1:10)&gt;COUNT(Dong1),"",IF(OFFSET(TH!N$1,SMALL(Dong1,ROWS($1:10)),)="1111",OFFSET(TH!D$1,SMALL(Dong1,ROWS($1:10)),),""))</f>
        <v/>
      </c>
      <c r="D23" s="115" t="str">
        <f ca="1">IF(ROWS($1:10)&gt;COUNT(Dong1),"",IF(OFFSET(TH!O$1,SMALL(Dong1,ROWS($1:10)),)="1111",OFFSET(TH!D$1,SMALL(Dong1,ROWS($1:10)),),""))</f>
        <v>C08</v>
      </c>
      <c r="E23" s="166" t="str">
        <f ca="1">IF(ROWS($1:10)&gt;COUNT(Dong1),"",OFFSET(TH!F$1,SMALL(Dong1,ROWS($1:10)),))</f>
        <v>Mực làm mẫu</v>
      </c>
      <c r="F23" s="117">
        <f ca="1">IF(ROWS($1:10)&gt;COUNT(Dong1),"",IF(OFFSET(TH!O$1,SMALL(Dong1,ROWS($1:10)),)="1111",OFFSET(TH!N$1,SMALL(Dong1,ROWS($1:10)),),OFFSET(TH!O$1,SMALL(Dong1,ROWS($1:10)),)))</f>
        <v>0</v>
      </c>
      <c r="G23" s="118">
        <f ca="1">IF(ROWS($1:10)&gt;COUNT(Dong1),"",IF(OFFSET(TH!N$1,SMALL(Dong1,ROWS($1:10)),)="1111",OFFSET(TH!M$1,SMALL(Dong1,ROWS($1:10)),),0))</f>
        <v>0</v>
      </c>
      <c r="H23" s="116">
        <f ca="1">IF(ROWS($1:10)&gt;COUNT(Dong1),"",IF(OFFSET(TH!O$1,SMALL(Dong1,ROWS($1:10)),)="1111",OFFSET(TH!M$1,SMALL(Dong1,ROWS($1:10)),),0))</f>
        <v>450000</v>
      </c>
      <c r="I23" s="114">
        <f t="shared" ca="1" si="0"/>
        <v>162900000</v>
      </c>
      <c r="J23" s="119"/>
    </row>
    <row r="24" spans="1:10" ht="19.5" customHeight="1">
      <c r="A24" s="113">
        <f ca="1">IF(ROWS($1:11)&gt;COUNT(Dong1),"",OFFSET(TH!C$1,SMALL(Dong1,ROWS($1:11)),))</f>
        <v>42675</v>
      </c>
      <c r="B24" s="113">
        <f ca="1">IF(ROWS($1:11)&gt;COUNT(Dong1),"",OFFSET(TH!E$1,SMALL(Dong1,ROWS($1:11)),))</f>
        <v>42675</v>
      </c>
      <c r="C24" s="114" t="str">
        <f ca="1">IF(ROWS($1:11)&gt;COUNT(Dong1),"",IF(OFFSET(TH!N$1,SMALL(Dong1,ROWS($1:11)),)="1111",OFFSET(TH!D$1,SMALL(Dong1,ROWS($1:11)),),""))</f>
        <v/>
      </c>
      <c r="D24" s="115" t="str">
        <f ca="1">IF(ROWS($1:11)&gt;COUNT(Dong1),"",IF(OFFSET(TH!O$1,SMALL(Dong1,ROWS($1:11)),)="1111",OFFSET(TH!D$1,SMALL(Dong1,ROWS($1:11)),),""))</f>
        <v>C09</v>
      </c>
      <c r="E24" s="166" t="str">
        <f ca="1">IF(ROWS($1:11)&gt;COUNT(Dong1),"",OFFSET(TH!F$1,SMALL(Dong1,ROWS($1:11)),))</f>
        <v>Mua dđồ cúng</v>
      </c>
      <c r="F24" s="117">
        <f ca="1">IF(ROWS($1:11)&gt;COUNT(Dong1),"",IF(OFFSET(TH!O$1,SMALL(Dong1,ROWS($1:11)),)="1111",OFFSET(TH!N$1,SMALL(Dong1,ROWS($1:11)),),OFFSET(TH!O$1,SMALL(Dong1,ROWS($1:11)),)))</f>
        <v>0</v>
      </c>
      <c r="G24" s="118">
        <f ca="1">IF(ROWS($1:11)&gt;COUNT(Dong1),"",IF(OFFSET(TH!N$1,SMALL(Dong1,ROWS($1:11)),)="1111",OFFSET(TH!M$1,SMALL(Dong1,ROWS($1:11)),),0))</f>
        <v>0</v>
      </c>
      <c r="H24" s="116">
        <f ca="1">IF(ROWS($1:11)&gt;COUNT(Dong1),"",IF(OFFSET(TH!O$1,SMALL(Dong1,ROWS($1:11)),)="1111",OFFSET(TH!M$1,SMALL(Dong1,ROWS($1:11)),),0))</f>
        <v>470000</v>
      </c>
      <c r="I24" s="114">
        <f t="shared" ca="1" si="0"/>
        <v>162430000</v>
      </c>
      <c r="J24" s="119"/>
    </row>
    <row r="25" spans="1:10" ht="19.5" customHeight="1">
      <c r="A25" s="113">
        <f ca="1">IF(ROWS($1:12)&gt;COUNT(Dong1),"",OFFSET(TH!C$1,SMALL(Dong1,ROWS($1:12)),))</f>
        <v>42675</v>
      </c>
      <c r="B25" s="113">
        <f ca="1">IF(ROWS($1:12)&gt;COUNT(Dong1),"",OFFSET(TH!E$1,SMALL(Dong1,ROWS($1:12)),))</f>
        <v>42675</v>
      </c>
      <c r="C25" s="114" t="str">
        <f ca="1">IF(ROWS($1:12)&gt;COUNT(Dong1),"",IF(OFFSET(TH!N$1,SMALL(Dong1,ROWS($1:12)),)="1111",OFFSET(TH!D$1,SMALL(Dong1,ROWS($1:12)),),""))</f>
        <v/>
      </c>
      <c r="D25" s="115" t="str">
        <f ca="1">IF(ROWS($1:12)&gt;COUNT(Dong1),"",IF(OFFSET(TH!O$1,SMALL(Dong1,ROWS($1:12)),)="1111",OFFSET(TH!D$1,SMALL(Dong1,ROWS($1:12)),),""))</f>
        <v>C10</v>
      </c>
      <c r="E25" s="166" t="str">
        <f ca="1">IF(ROWS($1:12)&gt;COUNT(Dong1),"",OFFSET(TH!F$1,SMALL(Dong1,ROWS($1:12)),))</f>
        <v>Nộp Q4 trà vinh</v>
      </c>
      <c r="F25" s="117">
        <f ca="1">IF(ROWS($1:12)&gt;COUNT(Dong1),"",IF(OFFSET(TH!O$1,SMALL(Dong1,ROWS($1:12)),)="1111",OFFSET(TH!N$1,SMALL(Dong1,ROWS($1:12)),),OFFSET(TH!O$1,SMALL(Dong1,ROWS($1:12)),)))</f>
        <v>0</v>
      </c>
      <c r="G25" s="118">
        <f ca="1">IF(ROWS($1:12)&gt;COUNT(Dong1),"",IF(OFFSET(TH!N$1,SMALL(Dong1,ROWS($1:12)),)="1111",OFFSET(TH!M$1,SMALL(Dong1,ROWS($1:12)),),0))</f>
        <v>0</v>
      </c>
      <c r="H25" s="116">
        <f ca="1">IF(ROWS($1:12)&gt;COUNT(Dong1),"",IF(OFFSET(TH!O$1,SMALL(Dong1,ROWS($1:12)),)="1111",OFFSET(TH!M$1,SMALL(Dong1,ROWS($1:12)),),0))</f>
        <v>80000000</v>
      </c>
      <c r="I25" s="114">
        <f t="shared" ca="1" si="0"/>
        <v>82430000</v>
      </c>
      <c r="J25" s="119"/>
    </row>
    <row r="26" spans="1:10" ht="19.5" customHeight="1">
      <c r="A26" s="113">
        <f ca="1">IF(ROWS($1:13)&gt;COUNT(Dong1),"",OFFSET(TH!C$1,SMALL(Dong1,ROWS($1:13)),))</f>
        <v>42675</v>
      </c>
      <c r="B26" s="113">
        <f ca="1">IF(ROWS($1:13)&gt;COUNT(Dong1),"",OFFSET(TH!E$1,SMALL(Dong1,ROWS($1:13)),))</f>
        <v>42675</v>
      </c>
      <c r="C26" s="114" t="str">
        <f ca="1">IF(ROWS($1:13)&gt;COUNT(Dong1),"",IF(OFFSET(TH!N$1,SMALL(Dong1,ROWS($1:13)),)="1111",OFFSET(TH!D$1,SMALL(Dong1,ROWS($1:13)),),""))</f>
        <v>T02</v>
      </c>
      <c r="D26" s="115" t="str">
        <f ca="1">IF(ROWS($1:13)&gt;COUNT(Dong1),"",IF(OFFSET(TH!O$1,SMALL(Dong1,ROWS($1:13)),)="1111",OFFSET(TH!D$1,SMALL(Dong1,ROWS($1:13)),),""))</f>
        <v/>
      </c>
      <c r="E26" s="166" t="str">
        <f ca="1">IF(ROWS($1:13)&gt;COUNT(Dong1),"",OFFSET(TH!F$1,SMALL(Dong1,ROWS($1:13)),))</f>
        <v>Thu t/ứng PC: 115 ngày 20/10</v>
      </c>
      <c r="F26" s="117">
        <f ca="1">IF(ROWS($1:13)&gt;COUNT(Dong1),"",IF(OFFSET(TH!O$1,SMALL(Dong1,ROWS($1:13)),)="1111",OFFSET(TH!N$1,SMALL(Dong1,ROWS($1:13)),),OFFSET(TH!O$1,SMALL(Dong1,ROWS($1:13)),)))</f>
        <v>0</v>
      </c>
      <c r="G26" s="118">
        <f ca="1">IF(ROWS($1:13)&gt;COUNT(Dong1),"",IF(OFFSET(TH!N$1,SMALL(Dong1,ROWS($1:13)),)="1111",OFFSET(TH!M$1,SMALL(Dong1,ROWS($1:13)),),0))</f>
        <v>1000000</v>
      </c>
      <c r="H26" s="116">
        <f ca="1">IF(ROWS($1:13)&gt;COUNT(Dong1),"",IF(OFFSET(TH!O$1,SMALL(Dong1,ROWS($1:13)),)="1111",OFFSET(TH!M$1,SMALL(Dong1,ROWS($1:13)),),0))</f>
        <v>0</v>
      </c>
      <c r="I26" s="114">
        <f t="shared" ca="1" si="0"/>
        <v>83430000</v>
      </c>
      <c r="J26" s="119"/>
    </row>
    <row r="27" spans="1:10" ht="19.5" customHeight="1">
      <c r="A27" s="113">
        <f ca="1">IF(ROWS($1:14)&gt;COUNT(Dong1),"",OFFSET(TH!C$1,SMALL(Dong1,ROWS($1:14)),))</f>
        <v>42675</v>
      </c>
      <c r="B27" s="113">
        <f ca="1">IF(ROWS($1:14)&gt;COUNT(Dong1),"",OFFSET(TH!E$1,SMALL(Dong1,ROWS($1:14)),))</f>
        <v>42675</v>
      </c>
      <c r="C27" s="114" t="str">
        <f ca="1">IF(ROWS($1:14)&gt;COUNT(Dong1),"",IF(OFFSET(TH!N$1,SMALL(Dong1,ROWS($1:14)),)="1111",OFFSET(TH!D$1,SMALL(Dong1,ROWS($1:14)),),""))</f>
        <v/>
      </c>
      <c r="D27" s="115" t="str">
        <f ca="1">IF(ROWS($1:14)&gt;COUNT(Dong1),"",IF(OFFSET(TH!O$1,SMALL(Dong1,ROWS($1:14)),)="1111",OFFSET(TH!D$1,SMALL(Dong1,ROWS($1:14)),),""))</f>
        <v>C11</v>
      </c>
      <c r="E27" s="166" t="str">
        <f ca="1">IF(ROWS($1:14)&gt;COUNT(Dong1),"",OFFSET(TH!F$1,SMALL(Dong1,ROWS($1:14)),))</f>
        <v>Chi phí xưởng</v>
      </c>
      <c r="F27" s="117">
        <f ca="1">IF(ROWS($1:14)&gt;COUNT(Dong1),"",IF(OFFSET(TH!O$1,SMALL(Dong1,ROWS($1:14)),)="1111",OFFSET(TH!N$1,SMALL(Dong1,ROWS($1:14)),),OFFSET(TH!O$1,SMALL(Dong1,ROWS($1:14)),)))</f>
        <v>0</v>
      </c>
      <c r="G27" s="118">
        <f ca="1">IF(ROWS($1:14)&gt;COUNT(Dong1),"",IF(OFFSET(TH!N$1,SMALL(Dong1,ROWS($1:14)),)="1111",OFFSET(TH!M$1,SMALL(Dong1,ROWS($1:14)),),0))</f>
        <v>0</v>
      </c>
      <c r="H27" s="116">
        <f ca="1">IF(ROWS($1:14)&gt;COUNT(Dong1),"",IF(OFFSET(TH!O$1,SMALL(Dong1,ROWS($1:14)),)="1111",OFFSET(TH!M$1,SMALL(Dong1,ROWS($1:14)),),0))</f>
        <v>1021000</v>
      </c>
      <c r="I27" s="114">
        <f t="shared" ca="1" si="0"/>
        <v>82409000</v>
      </c>
      <c r="J27" s="119"/>
    </row>
    <row r="28" spans="1:10" ht="19.5" customHeight="1">
      <c r="A28" s="113">
        <f ca="1">IF(ROWS($1:15)&gt;COUNT(Dong1),"",OFFSET(TH!C$1,SMALL(Dong1,ROWS($1:15)),))</f>
        <v>42675</v>
      </c>
      <c r="B28" s="113">
        <f ca="1">IF(ROWS($1:15)&gt;COUNT(Dong1),"",OFFSET(TH!E$1,SMALL(Dong1,ROWS($1:15)),))</f>
        <v>42675</v>
      </c>
      <c r="C28" s="114" t="str">
        <f ca="1">IF(ROWS($1:15)&gt;COUNT(Dong1),"",IF(OFFSET(TH!N$1,SMALL(Dong1,ROWS($1:15)),)="1111",OFFSET(TH!D$1,SMALL(Dong1,ROWS($1:15)),),""))</f>
        <v/>
      </c>
      <c r="D28" s="115" t="str">
        <f ca="1">IF(ROWS($1:15)&gt;COUNT(Dong1),"",IF(OFFSET(TH!O$1,SMALL(Dong1,ROWS($1:15)),)="1111",OFFSET(TH!D$1,SMALL(Dong1,ROWS($1:15)),),""))</f>
        <v>C12</v>
      </c>
      <c r="E28" s="166" t="str">
        <f ca="1">IF(ROWS($1:15)&gt;COUNT(Dong1),"",OFFSET(TH!F$1,SMALL(Dong1,ROWS($1:15)),))</f>
        <v>T/ứng chi phí xưởng - Bé Hai</v>
      </c>
      <c r="F28" s="117">
        <f ca="1">IF(ROWS($1:15)&gt;COUNT(Dong1),"",IF(OFFSET(TH!O$1,SMALL(Dong1,ROWS($1:15)),)="1111",OFFSET(TH!N$1,SMALL(Dong1,ROWS($1:15)),),OFFSET(TH!O$1,SMALL(Dong1,ROWS($1:15)),)))</f>
        <v>0</v>
      </c>
      <c r="G28" s="118">
        <f ca="1">IF(ROWS($1:15)&gt;COUNT(Dong1),"",IF(OFFSET(TH!N$1,SMALL(Dong1,ROWS($1:15)),)="1111",OFFSET(TH!M$1,SMALL(Dong1,ROWS($1:15)),),0))</f>
        <v>0</v>
      </c>
      <c r="H28" s="116">
        <f ca="1">IF(ROWS($1:15)&gt;COUNT(Dong1),"",IF(OFFSET(TH!O$1,SMALL(Dong1,ROWS($1:15)),)="1111",OFFSET(TH!M$1,SMALL(Dong1,ROWS($1:15)),),0))</f>
        <v>1000000</v>
      </c>
      <c r="I28" s="114">
        <f t="shared" ca="1" si="0"/>
        <v>81409000</v>
      </c>
      <c r="J28" s="119"/>
    </row>
    <row r="29" spans="1:10" ht="19.5" customHeight="1">
      <c r="A29" s="113">
        <f ca="1">IF(ROWS($1:16)&gt;COUNT(Dong1),"",OFFSET(TH!C$1,SMALL(Dong1,ROWS($1:16)),))</f>
        <v>42675</v>
      </c>
      <c r="B29" s="113">
        <f ca="1">IF(ROWS($1:16)&gt;COUNT(Dong1),"",OFFSET(TH!E$1,SMALL(Dong1,ROWS($1:16)),))</f>
        <v>42675</v>
      </c>
      <c r="C29" s="114" t="str">
        <f ca="1">IF(ROWS($1:16)&gt;COUNT(Dong1),"",IF(OFFSET(TH!N$1,SMALL(Dong1,ROWS($1:16)),)="1111",OFFSET(TH!D$1,SMALL(Dong1,ROWS($1:16)),),""))</f>
        <v/>
      </c>
      <c r="D29" s="115" t="str">
        <f ca="1">IF(ROWS($1:16)&gt;COUNT(Dong1),"",IF(OFFSET(TH!O$1,SMALL(Dong1,ROWS($1:16)),)="1111",OFFSET(TH!D$1,SMALL(Dong1,ROWS($1:16)),),""))</f>
        <v>C13</v>
      </c>
      <c r="E29" s="166" t="str">
        <f ca="1">IF(ROWS($1:16)&gt;COUNT(Dong1),"",OFFSET(TH!F$1,SMALL(Dong1,ROWS($1:16)),))</f>
        <v>Mua gas kho lạnh</v>
      </c>
      <c r="F29" s="117">
        <f ca="1">IF(ROWS($1:16)&gt;COUNT(Dong1),"",IF(OFFSET(TH!O$1,SMALL(Dong1,ROWS($1:16)),)="1111",OFFSET(TH!N$1,SMALL(Dong1,ROWS($1:16)),),OFFSET(TH!O$1,SMALL(Dong1,ROWS($1:16)),)))</f>
        <v>0</v>
      </c>
      <c r="G29" s="118">
        <f ca="1">IF(ROWS($1:16)&gt;COUNT(Dong1),"",IF(OFFSET(TH!N$1,SMALL(Dong1,ROWS($1:16)),)="1111",OFFSET(TH!M$1,SMALL(Dong1,ROWS($1:16)),),0))</f>
        <v>0</v>
      </c>
      <c r="H29" s="116">
        <f ca="1">IF(ROWS($1:16)&gt;COUNT(Dong1),"",IF(OFFSET(TH!O$1,SMALL(Dong1,ROWS($1:16)),)="1111",OFFSET(TH!M$1,SMALL(Dong1,ROWS($1:16)),),0))</f>
        <v>2050000</v>
      </c>
      <c r="I29" s="114">
        <f t="shared" ca="1" si="0"/>
        <v>79359000</v>
      </c>
      <c r="J29" s="119"/>
    </row>
    <row r="30" spans="1:10" ht="19.5" customHeight="1">
      <c r="A30" s="113">
        <f ca="1">IF(ROWS($1:17)&gt;COUNT(Dong1),"",OFFSET(TH!C$1,SMALL(Dong1,ROWS($1:17)),))</f>
        <v>42675</v>
      </c>
      <c r="B30" s="113">
        <f ca="1">IF(ROWS($1:17)&gt;COUNT(Dong1),"",OFFSET(TH!E$1,SMALL(Dong1,ROWS($1:17)),))</f>
        <v>42675</v>
      </c>
      <c r="C30" s="114" t="str">
        <f ca="1">IF(ROWS($1:17)&gt;COUNT(Dong1),"",IF(OFFSET(TH!N$1,SMALL(Dong1,ROWS($1:17)),)="1111",OFFSET(TH!D$1,SMALL(Dong1,ROWS($1:17)),),""))</f>
        <v/>
      </c>
      <c r="D30" s="115" t="str">
        <f ca="1">IF(ROWS($1:17)&gt;COUNT(Dong1),"",IF(OFFSET(TH!O$1,SMALL(Dong1,ROWS($1:17)),)="1111",OFFSET(TH!D$1,SMALL(Dong1,ROWS($1:17)),),""))</f>
        <v>C14</v>
      </c>
      <c r="E30" s="166" t="str">
        <f ca="1">IF(ROWS($1:17)&gt;COUNT(Dong1),"",OFFSET(TH!F$1,SMALL(Dong1,ROWS($1:17)),))</f>
        <v>Tiền gas - Tân Haỉ Việt</v>
      </c>
      <c r="F30" s="117">
        <f ca="1">IF(ROWS($1:17)&gt;COUNT(Dong1),"",IF(OFFSET(TH!O$1,SMALL(Dong1,ROWS($1:17)),)="1111",OFFSET(TH!N$1,SMALL(Dong1,ROWS($1:17)),),OFFSET(TH!O$1,SMALL(Dong1,ROWS($1:17)),)))</f>
        <v>0</v>
      </c>
      <c r="G30" s="118">
        <f ca="1">IF(ROWS($1:17)&gt;COUNT(Dong1),"",IF(OFFSET(TH!N$1,SMALL(Dong1,ROWS($1:17)),)="1111",OFFSET(TH!M$1,SMALL(Dong1,ROWS($1:17)),),0))</f>
        <v>0</v>
      </c>
      <c r="H30" s="116">
        <f ca="1">IF(ROWS($1:17)&gt;COUNT(Dong1),"",IF(OFFSET(TH!O$1,SMALL(Dong1,ROWS($1:17)),)="1111",OFFSET(TH!M$1,SMALL(Dong1,ROWS($1:17)),),0))</f>
        <v>9725000</v>
      </c>
      <c r="I30" s="114">
        <f t="shared" ca="1" si="0"/>
        <v>69634000</v>
      </c>
      <c r="J30" s="119"/>
    </row>
    <row r="31" spans="1:10" ht="19.5" customHeight="1">
      <c r="A31" s="113">
        <f ca="1">IF(ROWS($1:18)&gt;COUNT(Dong1),"",OFFSET(TH!C$1,SMALL(Dong1,ROWS($1:18)),))</f>
        <v>42675</v>
      </c>
      <c r="B31" s="113">
        <f ca="1">IF(ROWS($1:18)&gt;COUNT(Dong1),"",OFFSET(TH!E$1,SMALL(Dong1,ROWS($1:18)),))</f>
        <v>42675</v>
      </c>
      <c r="C31" s="114" t="str">
        <f ca="1">IF(ROWS($1:18)&gt;COUNT(Dong1),"",IF(OFFSET(TH!N$1,SMALL(Dong1,ROWS($1:18)),)="1111",OFFSET(TH!D$1,SMALL(Dong1,ROWS($1:18)),),""))</f>
        <v>T03</v>
      </c>
      <c r="D31" s="115" t="str">
        <f ca="1">IF(ROWS($1:18)&gt;COUNT(Dong1),"",IF(OFFSET(TH!O$1,SMALL(Dong1,ROWS($1:18)),)="1111",OFFSET(TH!D$1,SMALL(Dong1,ROWS($1:18)),),""))</f>
        <v/>
      </c>
      <c r="E31" s="166" t="str">
        <f ca="1">IF(ROWS($1:18)&gt;COUNT(Dong1),"",OFFSET(TH!F$1,SMALL(Dong1,ROWS($1:18)),))</f>
        <v>Thu t/ứng PC: 06 ngày 1/10</v>
      </c>
      <c r="F31" s="117">
        <f ca="1">IF(ROWS($1:18)&gt;COUNT(Dong1),"",IF(OFFSET(TH!O$1,SMALL(Dong1,ROWS($1:18)),)="1111",OFFSET(TH!N$1,SMALL(Dong1,ROWS($1:18)),),OFFSET(TH!O$1,SMALL(Dong1,ROWS($1:18)),)))</f>
        <v>0</v>
      </c>
      <c r="G31" s="118">
        <f ca="1">IF(ROWS($1:18)&gt;COUNT(Dong1),"",IF(OFFSET(TH!N$1,SMALL(Dong1,ROWS($1:18)),)="1111",OFFSET(TH!M$1,SMALL(Dong1,ROWS($1:18)),),0))</f>
        <v>2000000</v>
      </c>
      <c r="H31" s="116">
        <f ca="1">IF(ROWS($1:18)&gt;COUNT(Dong1),"",IF(OFFSET(TH!O$1,SMALL(Dong1,ROWS($1:18)),)="1111",OFFSET(TH!M$1,SMALL(Dong1,ROWS($1:18)),),0))</f>
        <v>0</v>
      </c>
      <c r="I31" s="114">
        <f t="shared" ca="1" si="0"/>
        <v>71634000</v>
      </c>
      <c r="J31" s="119"/>
    </row>
    <row r="32" spans="1:10" ht="19.5" customHeight="1">
      <c r="A32" s="113">
        <f ca="1">IF(ROWS($1:19)&gt;COUNT(Dong1),"",OFFSET(TH!C$1,SMALL(Dong1,ROWS($1:19)),))</f>
        <v>42675</v>
      </c>
      <c r="B32" s="113">
        <f ca="1">IF(ROWS($1:19)&gt;COUNT(Dong1),"",OFFSET(TH!E$1,SMALL(Dong1,ROWS($1:19)),))</f>
        <v>42675</v>
      </c>
      <c r="C32" s="114" t="str">
        <f ca="1">IF(ROWS($1:19)&gt;COUNT(Dong1),"",IF(OFFSET(TH!N$1,SMALL(Dong1,ROWS($1:19)),)="1111",OFFSET(TH!D$1,SMALL(Dong1,ROWS($1:19)),),""))</f>
        <v/>
      </c>
      <c r="D32" s="115" t="str">
        <f ca="1">IF(ROWS($1:19)&gt;COUNT(Dong1),"",IF(OFFSET(TH!O$1,SMALL(Dong1,ROWS($1:19)),)="1111",OFFSET(TH!D$1,SMALL(Dong1,ROWS($1:19)),),""))</f>
        <v>C15</v>
      </c>
      <c r="E32" s="166" t="str">
        <f ca="1">IF(ROWS($1:19)&gt;COUNT(Dong1),"",OFFSET(TH!F$1,SMALL(Dong1,ROWS($1:19)),))</f>
        <v>Bảo dưởng xe 51A-14174</v>
      </c>
      <c r="F32" s="117">
        <f ca="1">IF(ROWS($1:19)&gt;COUNT(Dong1),"",IF(OFFSET(TH!O$1,SMALL(Dong1,ROWS($1:19)),)="1111",OFFSET(TH!N$1,SMALL(Dong1,ROWS($1:19)),),OFFSET(TH!O$1,SMALL(Dong1,ROWS($1:19)),)))</f>
        <v>0</v>
      </c>
      <c r="G32" s="118">
        <f ca="1">IF(ROWS($1:19)&gt;COUNT(Dong1),"",IF(OFFSET(TH!N$1,SMALL(Dong1,ROWS($1:19)),)="1111",OFFSET(TH!M$1,SMALL(Dong1,ROWS($1:19)),),0))</f>
        <v>0</v>
      </c>
      <c r="H32" s="116">
        <f ca="1">IF(ROWS($1:19)&gt;COUNT(Dong1),"",IF(OFFSET(TH!O$1,SMALL(Dong1,ROWS($1:19)),)="1111",OFFSET(TH!M$1,SMALL(Dong1,ROWS($1:19)),),0))</f>
        <v>1983000</v>
      </c>
      <c r="I32" s="114">
        <f t="shared" ca="1" si="0"/>
        <v>69651000</v>
      </c>
      <c r="J32" s="119"/>
    </row>
    <row r="33" spans="1:10" ht="19.5" customHeight="1">
      <c r="A33" s="113">
        <f ca="1">IF(ROWS($1:20)&gt;COUNT(Dong1),"",OFFSET(TH!C$1,SMALL(Dong1,ROWS($1:20)),))</f>
        <v>42675</v>
      </c>
      <c r="B33" s="113">
        <f ca="1">IF(ROWS($1:20)&gt;COUNT(Dong1),"",OFFSET(TH!E$1,SMALL(Dong1,ROWS($1:20)),))</f>
        <v>42675</v>
      </c>
      <c r="C33" s="114" t="str">
        <f ca="1">IF(ROWS($1:20)&gt;COUNT(Dong1),"",IF(OFFSET(TH!N$1,SMALL(Dong1,ROWS($1:20)),)="1111",OFFSET(TH!D$1,SMALL(Dong1,ROWS($1:20)),),""))</f>
        <v/>
      </c>
      <c r="D33" s="115" t="str">
        <f ca="1">IF(ROWS($1:20)&gt;COUNT(Dong1),"",IF(OFFSET(TH!O$1,SMALL(Dong1,ROWS($1:20)),)="1111",OFFSET(TH!D$1,SMALL(Dong1,ROWS($1:20)),),""))</f>
        <v>C16</v>
      </c>
      <c r="E33" s="166" t="str">
        <f ca="1">IF(ROWS($1:20)&gt;COUNT(Dong1),"",OFFSET(TH!F$1,SMALL(Dong1,ROWS($1:20)),))</f>
        <v>Tiền nước nhà</v>
      </c>
      <c r="F33" s="117">
        <f ca="1">IF(ROWS($1:20)&gt;COUNT(Dong1),"",IF(OFFSET(TH!O$1,SMALL(Dong1,ROWS($1:20)),)="1111",OFFSET(TH!N$1,SMALL(Dong1,ROWS($1:20)),),OFFSET(TH!O$1,SMALL(Dong1,ROWS($1:20)),)))</f>
        <v>0</v>
      </c>
      <c r="G33" s="118">
        <f ca="1">IF(ROWS($1:20)&gt;COUNT(Dong1),"",IF(OFFSET(TH!N$1,SMALL(Dong1,ROWS($1:20)),)="1111",OFFSET(TH!M$1,SMALL(Dong1,ROWS($1:20)),),0))</f>
        <v>0</v>
      </c>
      <c r="H33" s="116">
        <f ca="1">IF(ROWS($1:20)&gt;COUNT(Dong1),"",IF(OFFSET(TH!O$1,SMALL(Dong1,ROWS($1:20)),)="1111",OFFSET(TH!M$1,SMALL(Dong1,ROWS($1:20)),),0))</f>
        <v>423000</v>
      </c>
      <c r="I33" s="114">
        <f t="shared" ca="1" si="0"/>
        <v>69228000</v>
      </c>
      <c r="J33" s="119"/>
    </row>
    <row r="34" spans="1:10" ht="19.5" customHeight="1">
      <c r="A34" s="113">
        <f ca="1">IF(ROWS($1:21)&gt;COUNT(Dong1),"",OFFSET(TH!C$1,SMALL(Dong1,ROWS($1:21)),))</f>
        <v>42675</v>
      </c>
      <c r="B34" s="113">
        <f ca="1">IF(ROWS($1:21)&gt;COUNT(Dong1),"",OFFSET(TH!E$1,SMALL(Dong1,ROWS($1:21)),))</f>
        <v>42675</v>
      </c>
      <c r="C34" s="114" t="str">
        <f ca="1">IF(ROWS($1:21)&gt;COUNT(Dong1),"",IF(OFFSET(TH!N$1,SMALL(Dong1,ROWS($1:21)),)="1111",OFFSET(TH!D$1,SMALL(Dong1,ROWS($1:21)),),""))</f>
        <v/>
      </c>
      <c r="D34" s="115" t="str">
        <f ca="1">IF(ROWS($1:21)&gt;COUNT(Dong1),"",IF(OFFSET(TH!O$1,SMALL(Dong1,ROWS($1:21)),)="1111",OFFSET(TH!D$1,SMALL(Dong1,ROWS($1:21)),),""))</f>
        <v>C17</v>
      </c>
      <c r="E34" s="166" t="str">
        <f ca="1">IF(ROWS($1:21)&gt;COUNT(Dong1),"",OFFSET(TH!F$1,SMALL(Dong1,ROWS($1:21)),))</f>
        <v>Phí giao thông 2 xe</v>
      </c>
      <c r="F34" s="117">
        <f ca="1">IF(ROWS($1:21)&gt;COUNT(Dong1),"",IF(OFFSET(TH!O$1,SMALL(Dong1,ROWS($1:21)),)="1111",OFFSET(TH!N$1,SMALL(Dong1,ROWS($1:21)),),OFFSET(TH!O$1,SMALL(Dong1,ROWS($1:21)),)))</f>
        <v>0</v>
      </c>
      <c r="G34" s="118">
        <f ca="1">IF(ROWS($1:21)&gt;COUNT(Dong1),"",IF(OFFSET(TH!N$1,SMALL(Dong1,ROWS($1:21)),)="1111",OFFSET(TH!M$1,SMALL(Dong1,ROWS($1:21)),),0))</f>
        <v>0</v>
      </c>
      <c r="H34" s="116">
        <f ca="1">IF(ROWS($1:21)&gt;COUNT(Dong1),"",IF(OFFSET(TH!O$1,SMALL(Dong1,ROWS($1:21)),)="1111",OFFSET(TH!M$1,SMALL(Dong1,ROWS($1:21)),),0))</f>
        <v>330000</v>
      </c>
      <c r="I34" s="114">
        <f t="shared" ca="1" si="0"/>
        <v>68898000</v>
      </c>
      <c r="J34" s="119"/>
    </row>
    <row r="35" spans="1:10" ht="19.5" customHeight="1">
      <c r="A35" s="113">
        <f ca="1">IF(ROWS($1:22)&gt;COUNT(Dong1),"",OFFSET(TH!C$1,SMALL(Dong1,ROWS($1:22)),))</f>
        <v>42676</v>
      </c>
      <c r="B35" s="113">
        <f ca="1">IF(ROWS($1:22)&gt;COUNT(Dong1),"",OFFSET(TH!E$1,SMALL(Dong1,ROWS($1:22)),))</f>
        <v>42676</v>
      </c>
      <c r="C35" s="114" t="str">
        <f ca="1">IF(ROWS($1:22)&gt;COUNT(Dong1),"",IF(OFFSET(TH!N$1,SMALL(Dong1,ROWS($1:22)),)="1111",OFFSET(TH!D$1,SMALL(Dong1,ROWS($1:22)),),""))</f>
        <v>T04</v>
      </c>
      <c r="D35" s="115" t="str">
        <f ca="1">IF(ROWS($1:22)&gt;COUNT(Dong1),"",IF(OFFSET(TH!O$1,SMALL(Dong1,ROWS($1:22)),)="1111",OFFSET(TH!D$1,SMALL(Dong1,ROWS($1:22)),),""))</f>
        <v/>
      </c>
      <c r="E35" s="166" t="str">
        <f ca="1">IF(ROWS($1:22)&gt;COUNT(Dong1),"",OFFSET(TH!F$1,SMALL(Dong1,ROWS($1:22)),))</f>
        <v>Thu ngân hàng Q11</v>
      </c>
      <c r="F35" s="117">
        <f ca="1">IF(ROWS($1:22)&gt;COUNT(Dong1),"",IF(OFFSET(TH!O$1,SMALL(Dong1,ROWS($1:22)),)="1111",OFFSET(TH!N$1,SMALL(Dong1,ROWS($1:22)),),OFFSET(TH!O$1,SMALL(Dong1,ROWS($1:22)),)))</f>
        <v>0</v>
      </c>
      <c r="G35" s="118">
        <f ca="1">IF(ROWS($1:22)&gt;COUNT(Dong1),"",IF(OFFSET(TH!N$1,SMALL(Dong1,ROWS($1:22)),)="1111",OFFSET(TH!M$1,SMALL(Dong1,ROWS($1:22)),),0))</f>
        <v>1250000000</v>
      </c>
      <c r="H35" s="116">
        <f ca="1">IF(ROWS($1:22)&gt;COUNT(Dong1),"",IF(OFFSET(TH!O$1,SMALL(Dong1,ROWS($1:22)),)="1111",OFFSET(TH!M$1,SMALL(Dong1,ROWS($1:22)),),0))</f>
        <v>0</v>
      </c>
      <c r="I35" s="114">
        <f t="shared" ca="1" si="0"/>
        <v>1318898000</v>
      </c>
      <c r="J35" s="119"/>
    </row>
    <row r="36" spans="1:10" ht="19.5" customHeight="1">
      <c r="A36" s="113">
        <f ca="1">IF(ROWS($1:23)&gt;COUNT(Dong1),"",OFFSET(TH!C$1,SMALL(Dong1,ROWS($1:23)),))</f>
        <v>42676</v>
      </c>
      <c r="B36" s="113">
        <f ca="1">IF(ROWS($1:23)&gt;COUNT(Dong1),"",OFFSET(TH!E$1,SMALL(Dong1,ROWS($1:23)),))</f>
        <v>42676</v>
      </c>
      <c r="C36" s="114" t="str">
        <f ca="1">IF(ROWS($1:23)&gt;COUNT(Dong1),"",IF(OFFSET(TH!N$1,SMALL(Dong1,ROWS($1:23)),)="1111",OFFSET(TH!D$1,SMALL(Dong1,ROWS($1:23)),),""))</f>
        <v/>
      </c>
      <c r="D36" s="115" t="str">
        <f ca="1">IF(ROWS($1:23)&gt;COUNT(Dong1),"",IF(OFFSET(TH!O$1,SMALL(Dong1,ROWS($1:23)),)="1111",OFFSET(TH!D$1,SMALL(Dong1,ROWS($1:23)),),""))</f>
        <v>C18</v>
      </c>
      <c r="E36" s="166" t="str">
        <f ca="1">IF(ROWS($1:23)&gt;COUNT(Dong1),"",OFFSET(TH!F$1,SMALL(Dong1,ROWS($1:23)),))</f>
        <v>Trả tiền cá</v>
      </c>
      <c r="F36" s="117" t="str">
        <f ca="1">IF(ROWS($1:23)&gt;COUNT(Dong1),"",IF(OFFSET(TH!O$1,SMALL(Dong1,ROWS($1:23)),)="1111",OFFSET(TH!N$1,SMALL(Dong1,ROWS($1:23)),),OFFSET(TH!O$1,SMALL(Dong1,ROWS($1:23)),)))</f>
        <v>331</v>
      </c>
      <c r="G36" s="118">
        <f ca="1">IF(ROWS($1:23)&gt;COUNT(Dong1),"",IF(OFFSET(TH!N$1,SMALL(Dong1,ROWS($1:23)),)="1111",OFFSET(TH!M$1,SMALL(Dong1,ROWS($1:23)),),0))</f>
        <v>0</v>
      </c>
      <c r="H36" s="116">
        <f ca="1">IF(ROWS($1:23)&gt;COUNT(Dong1),"",IF(OFFSET(TH!O$1,SMALL(Dong1,ROWS($1:23)),)="1111",OFFSET(TH!M$1,SMALL(Dong1,ROWS($1:23)),),0))</f>
        <v>200000000</v>
      </c>
      <c r="I36" s="114">
        <f t="shared" ca="1" si="0"/>
        <v>1118898000</v>
      </c>
      <c r="J36" s="119"/>
    </row>
    <row r="37" spans="1:10" ht="19.5" customHeight="1">
      <c r="A37" s="113">
        <f ca="1">IF(ROWS($1:24)&gt;COUNT(Dong1),"",OFFSET(TH!C$1,SMALL(Dong1,ROWS($1:24)),))</f>
        <v>42676</v>
      </c>
      <c r="B37" s="113">
        <f ca="1">IF(ROWS($1:24)&gt;COUNT(Dong1),"",OFFSET(TH!E$1,SMALL(Dong1,ROWS($1:24)),))</f>
        <v>42676</v>
      </c>
      <c r="C37" s="114" t="str">
        <f ca="1">IF(ROWS($1:24)&gt;COUNT(Dong1),"",IF(OFFSET(TH!N$1,SMALL(Dong1,ROWS($1:24)),)="1111",OFFSET(TH!D$1,SMALL(Dong1,ROWS($1:24)),),""))</f>
        <v/>
      </c>
      <c r="D37" s="115" t="str">
        <f ca="1">IF(ROWS($1:24)&gt;COUNT(Dong1),"",IF(OFFSET(TH!O$1,SMALL(Dong1,ROWS($1:24)),)="1111",OFFSET(TH!D$1,SMALL(Dong1,ROWS($1:24)),),""))</f>
        <v>C19</v>
      </c>
      <c r="E37" s="166" t="str">
        <f ca="1">IF(ROWS($1:24)&gt;COUNT(Dong1),"",OFFSET(TH!F$1,SMALL(Dong1,ROWS($1:24)),))</f>
        <v>Trả tiền cá</v>
      </c>
      <c r="F37" s="117" t="str">
        <f ca="1">IF(ROWS($1:24)&gt;COUNT(Dong1),"",IF(OFFSET(TH!O$1,SMALL(Dong1,ROWS($1:24)),)="1111",OFFSET(TH!N$1,SMALL(Dong1,ROWS($1:24)),),OFFSET(TH!O$1,SMALL(Dong1,ROWS($1:24)),)))</f>
        <v>331</v>
      </c>
      <c r="G37" s="118">
        <f ca="1">IF(ROWS($1:24)&gt;COUNT(Dong1),"",IF(OFFSET(TH!N$1,SMALL(Dong1,ROWS($1:24)),)="1111",OFFSET(TH!M$1,SMALL(Dong1,ROWS($1:24)),),0))</f>
        <v>0</v>
      </c>
      <c r="H37" s="116">
        <f ca="1">IF(ROWS($1:24)&gt;COUNT(Dong1),"",IF(OFFSET(TH!O$1,SMALL(Dong1,ROWS($1:24)),)="1111",OFFSET(TH!M$1,SMALL(Dong1,ROWS($1:24)),),0))</f>
        <v>100000000</v>
      </c>
      <c r="I37" s="114">
        <f t="shared" ca="1" si="0"/>
        <v>1018898000</v>
      </c>
      <c r="J37" s="119"/>
    </row>
    <row r="38" spans="1:10" ht="19.5" customHeight="1">
      <c r="A38" s="113">
        <f ca="1">IF(ROWS($1:25)&gt;COUNT(Dong1),"",OFFSET(TH!C$1,SMALL(Dong1,ROWS($1:25)),))</f>
        <v>42676</v>
      </c>
      <c r="B38" s="113">
        <f ca="1">IF(ROWS($1:25)&gt;COUNT(Dong1),"",OFFSET(TH!E$1,SMALL(Dong1,ROWS($1:25)),))</f>
        <v>42676</v>
      </c>
      <c r="C38" s="114" t="str">
        <f ca="1">IF(ROWS($1:25)&gt;COUNT(Dong1),"",IF(OFFSET(TH!N$1,SMALL(Dong1,ROWS($1:25)),)="1111",OFFSET(TH!D$1,SMALL(Dong1,ROWS($1:25)),),""))</f>
        <v/>
      </c>
      <c r="D38" s="115" t="str">
        <f ca="1">IF(ROWS($1:25)&gt;COUNT(Dong1),"",IF(OFFSET(TH!O$1,SMALL(Dong1,ROWS($1:25)),)="1111",OFFSET(TH!D$1,SMALL(Dong1,ROWS($1:25)),),""))</f>
        <v>C20</v>
      </c>
      <c r="E38" s="166" t="str">
        <f ca="1">IF(ROWS($1:25)&gt;COUNT(Dong1),"",OFFSET(TH!F$1,SMALL(Dong1,ROWS($1:25)),))</f>
        <v>Trả tiền cá</v>
      </c>
      <c r="F38" s="117" t="str">
        <f ca="1">IF(ROWS($1:25)&gt;COUNT(Dong1),"",IF(OFFSET(TH!O$1,SMALL(Dong1,ROWS($1:25)),)="1111",OFFSET(TH!N$1,SMALL(Dong1,ROWS($1:25)),),OFFSET(TH!O$1,SMALL(Dong1,ROWS($1:25)),)))</f>
        <v>331</v>
      </c>
      <c r="G38" s="118">
        <f ca="1">IF(ROWS($1:25)&gt;COUNT(Dong1),"",IF(OFFSET(TH!N$1,SMALL(Dong1,ROWS($1:25)),)="1111",OFFSET(TH!M$1,SMALL(Dong1,ROWS($1:25)),),0))</f>
        <v>0</v>
      </c>
      <c r="H38" s="116">
        <f ca="1">IF(ROWS($1:25)&gt;COUNT(Dong1),"",IF(OFFSET(TH!O$1,SMALL(Dong1,ROWS($1:25)),)="1111",OFFSET(TH!M$1,SMALL(Dong1,ROWS($1:25)),),0))</f>
        <v>100000000</v>
      </c>
      <c r="I38" s="114">
        <f t="shared" ca="1" si="0"/>
        <v>918898000</v>
      </c>
      <c r="J38" s="119"/>
    </row>
    <row r="39" spans="1:10" ht="19.5" customHeight="1">
      <c r="A39" s="113">
        <f ca="1">IF(ROWS($1:26)&gt;COUNT(Dong1),"",OFFSET(TH!C$1,SMALL(Dong1,ROWS($1:26)),))</f>
        <v>42676</v>
      </c>
      <c r="B39" s="113">
        <f ca="1">IF(ROWS($1:26)&gt;COUNT(Dong1),"",OFFSET(TH!E$1,SMALL(Dong1,ROWS($1:26)),))</f>
        <v>42676</v>
      </c>
      <c r="C39" s="114" t="str">
        <f ca="1">IF(ROWS($1:26)&gt;COUNT(Dong1),"",IF(OFFSET(TH!N$1,SMALL(Dong1,ROWS($1:26)),)="1111",OFFSET(TH!D$1,SMALL(Dong1,ROWS($1:26)),),""))</f>
        <v/>
      </c>
      <c r="D39" s="115" t="str">
        <f ca="1">IF(ROWS($1:26)&gt;COUNT(Dong1),"",IF(OFFSET(TH!O$1,SMALL(Dong1,ROWS($1:26)),)="1111",OFFSET(TH!D$1,SMALL(Dong1,ROWS($1:26)),),""))</f>
        <v>C21</v>
      </c>
      <c r="E39" s="166" t="str">
        <f ca="1">IF(ROWS($1:26)&gt;COUNT(Dong1),"",OFFSET(TH!F$1,SMALL(Dong1,ROWS($1:26)),))</f>
        <v>Trả tiền cá</v>
      </c>
      <c r="F39" s="117" t="str">
        <f ca="1">IF(ROWS($1:26)&gt;COUNT(Dong1),"",IF(OFFSET(TH!O$1,SMALL(Dong1,ROWS($1:26)),)="1111",OFFSET(TH!N$1,SMALL(Dong1,ROWS($1:26)),),OFFSET(TH!O$1,SMALL(Dong1,ROWS($1:26)),)))</f>
        <v>331</v>
      </c>
      <c r="G39" s="118">
        <f ca="1">IF(ROWS($1:26)&gt;COUNT(Dong1),"",IF(OFFSET(TH!N$1,SMALL(Dong1,ROWS($1:26)),)="1111",OFFSET(TH!M$1,SMALL(Dong1,ROWS($1:26)),),0))</f>
        <v>0</v>
      </c>
      <c r="H39" s="116">
        <f ca="1">IF(ROWS($1:26)&gt;COUNT(Dong1),"",IF(OFFSET(TH!O$1,SMALL(Dong1,ROWS($1:26)),)="1111",OFFSET(TH!M$1,SMALL(Dong1,ROWS($1:26)),),0))</f>
        <v>120000000</v>
      </c>
      <c r="I39" s="114">
        <f t="shared" ca="1" si="0"/>
        <v>798898000</v>
      </c>
      <c r="J39" s="119"/>
    </row>
    <row r="40" spans="1:10" ht="19.5" customHeight="1">
      <c r="A40" s="113">
        <f ca="1">IF(ROWS($1:27)&gt;COUNT(Dong1),"",OFFSET(TH!C$1,SMALL(Dong1,ROWS($1:27)),))</f>
        <v>42676</v>
      </c>
      <c r="B40" s="113">
        <f ca="1">IF(ROWS($1:27)&gt;COUNT(Dong1),"",OFFSET(TH!E$1,SMALL(Dong1,ROWS($1:27)),))</f>
        <v>42676</v>
      </c>
      <c r="C40" s="114" t="str">
        <f ca="1">IF(ROWS($1:27)&gt;COUNT(Dong1),"",IF(OFFSET(TH!N$1,SMALL(Dong1,ROWS($1:27)),)="1111",OFFSET(TH!D$1,SMALL(Dong1,ROWS($1:27)),),""))</f>
        <v/>
      </c>
      <c r="D40" s="115" t="str">
        <f ca="1">IF(ROWS($1:27)&gt;COUNT(Dong1),"",IF(OFFSET(TH!O$1,SMALL(Dong1,ROWS($1:27)),)="1111",OFFSET(TH!D$1,SMALL(Dong1,ROWS($1:27)),),""))</f>
        <v>C22</v>
      </c>
      <c r="E40" s="166" t="str">
        <f ca="1">IF(ROWS($1:27)&gt;COUNT(Dong1),"",OFFSET(TH!F$1,SMALL(Dong1,ROWS($1:27)),))</f>
        <v>Chi Trà Vinh</v>
      </c>
      <c r="F40" s="117">
        <f ca="1">IF(ROWS($1:27)&gt;COUNT(Dong1),"",IF(OFFSET(TH!O$1,SMALL(Dong1,ROWS($1:27)),)="1111",OFFSET(TH!N$1,SMALL(Dong1,ROWS($1:27)),),OFFSET(TH!O$1,SMALL(Dong1,ROWS($1:27)),)))</f>
        <v>0</v>
      </c>
      <c r="G40" s="118">
        <f ca="1">IF(ROWS($1:27)&gt;COUNT(Dong1),"",IF(OFFSET(TH!N$1,SMALL(Dong1,ROWS($1:27)),)="1111",OFFSET(TH!M$1,SMALL(Dong1,ROWS($1:27)),),0))</f>
        <v>0</v>
      </c>
      <c r="H40" s="116">
        <f ca="1">IF(ROWS($1:27)&gt;COUNT(Dong1),"",IF(OFFSET(TH!O$1,SMALL(Dong1,ROWS($1:27)),)="1111",OFFSET(TH!M$1,SMALL(Dong1,ROWS($1:27)),),0))</f>
        <v>150000000</v>
      </c>
      <c r="I40" s="114">
        <f t="shared" ca="1" si="0"/>
        <v>648898000</v>
      </c>
      <c r="J40" s="119"/>
    </row>
    <row r="41" spans="1:10" ht="19.5" customHeight="1">
      <c r="A41" s="113">
        <f ca="1">IF(ROWS($1:28)&gt;COUNT(Dong1),"",OFFSET(TH!C$1,SMALL(Dong1,ROWS($1:28)),))</f>
        <v>42676</v>
      </c>
      <c r="B41" s="113">
        <f ca="1">IF(ROWS($1:28)&gt;COUNT(Dong1),"",OFFSET(TH!E$1,SMALL(Dong1,ROWS($1:28)),))</f>
        <v>42676</v>
      </c>
      <c r="C41" s="114" t="str">
        <f ca="1">IF(ROWS($1:28)&gt;COUNT(Dong1),"",IF(OFFSET(TH!N$1,SMALL(Dong1,ROWS($1:28)),)="1111",OFFSET(TH!D$1,SMALL(Dong1,ROWS($1:28)),),""))</f>
        <v/>
      </c>
      <c r="D41" s="115" t="str">
        <f ca="1">IF(ROWS($1:28)&gt;COUNT(Dong1),"",IF(OFFSET(TH!O$1,SMALL(Dong1,ROWS($1:28)),)="1111",OFFSET(TH!D$1,SMALL(Dong1,ROWS($1:28)),),""))</f>
        <v>C22</v>
      </c>
      <c r="E41" s="166" t="str">
        <f ca="1">IF(ROWS($1:28)&gt;COUNT(Dong1),"",OFFSET(TH!F$1,SMALL(Dong1,ROWS($1:28)),))</f>
        <v>Phí chuyển tiền</v>
      </c>
      <c r="F41" s="117">
        <f ca="1">IF(ROWS($1:28)&gt;COUNT(Dong1),"",IF(OFFSET(TH!O$1,SMALL(Dong1,ROWS($1:28)),)="1111",OFFSET(TH!N$1,SMALL(Dong1,ROWS($1:28)),),OFFSET(TH!O$1,SMALL(Dong1,ROWS($1:28)),)))</f>
        <v>0</v>
      </c>
      <c r="G41" s="118">
        <f ca="1">IF(ROWS($1:28)&gt;COUNT(Dong1),"",IF(OFFSET(TH!N$1,SMALL(Dong1,ROWS($1:28)),)="1111",OFFSET(TH!M$1,SMALL(Dong1,ROWS($1:28)),),0))</f>
        <v>0</v>
      </c>
      <c r="H41" s="116">
        <f ca="1">IF(ROWS($1:28)&gt;COUNT(Dong1),"",IF(OFFSET(TH!O$1,SMALL(Dong1,ROWS($1:28)),)="1111",OFFSET(TH!M$1,SMALL(Dong1,ROWS($1:28)),),0))</f>
        <v>45000</v>
      </c>
      <c r="I41" s="114">
        <f t="shared" ca="1" si="0"/>
        <v>648853000</v>
      </c>
      <c r="J41" s="119"/>
    </row>
    <row r="42" spans="1:10" ht="19.5" customHeight="1">
      <c r="A42" s="113">
        <f ca="1">IF(ROWS($1:29)&gt;COUNT(Dong1),"",OFFSET(TH!C$1,SMALL(Dong1,ROWS($1:29)),))</f>
        <v>42676</v>
      </c>
      <c r="B42" s="113">
        <f ca="1">IF(ROWS($1:29)&gt;COUNT(Dong1),"",OFFSET(TH!E$1,SMALL(Dong1,ROWS($1:29)),))</f>
        <v>42676</v>
      </c>
      <c r="C42" s="114" t="str">
        <f ca="1">IF(ROWS($1:29)&gt;COUNT(Dong1),"",IF(OFFSET(TH!N$1,SMALL(Dong1,ROWS($1:29)),)="1111",OFFSET(TH!D$1,SMALL(Dong1,ROWS($1:29)),),""))</f>
        <v/>
      </c>
      <c r="D42" s="115" t="str">
        <f ca="1">IF(ROWS($1:29)&gt;COUNT(Dong1),"",IF(OFFSET(TH!O$1,SMALL(Dong1,ROWS($1:29)),)="1111",OFFSET(TH!D$1,SMALL(Dong1,ROWS($1:29)),),""))</f>
        <v>C23</v>
      </c>
      <c r="E42" s="166" t="str">
        <f ca="1">IF(ROWS($1:29)&gt;COUNT(Dong1),"",OFFSET(TH!F$1,SMALL(Dong1,ROWS($1:29)),))</f>
        <v>Lãi vay</v>
      </c>
      <c r="F42" s="117">
        <f ca="1">IF(ROWS($1:29)&gt;COUNT(Dong1),"",IF(OFFSET(TH!O$1,SMALL(Dong1,ROWS($1:29)),)="1111",OFFSET(TH!N$1,SMALL(Dong1,ROWS($1:29)),),OFFSET(TH!O$1,SMALL(Dong1,ROWS($1:29)),)))</f>
        <v>0</v>
      </c>
      <c r="G42" s="118">
        <f ca="1">IF(ROWS($1:29)&gt;COUNT(Dong1),"",IF(OFFSET(TH!N$1,SMALL(Dong1,ROWS($1:29)),)="1111",OFFSET(TH!M$1,SMALL(Dong1,ROWS($1:29)),),0))</f>
        <v>0</v>
      </c>
      <c r="H42" s="116">
        <f ca="1">IF(ROWS($1:29)&gt;COUNT(Dong1),"",IF(OFFSET(TH!O$1,SMALL(Dong1,ROWS($1:29)),)="1111",OFFSET(TH!M$1,SMALL(Dong1,ROWS($1:29)),),0))</f>
        <v>16017000</v>
      </c>
      <c r="I42" s="114">
        <f t="shared" ca="1" si="0"/>
        <v>632836000</v>
      </c>
      <c r="J42" s="119"/>
    </row>
    <row r="43" spans="1:10" ht="19.5" customHeight="1">
      <c r="A43" s="113">
        <f ca="1">IF(ROWS($1:30)&gt;COUNT(Dong1),"",OFFSET(TH!C$1,SMALL(Dong1,ROWS($1:30)),))</f>
        <v>42676</v>
      </c>
      <c r="B43" s="113">
        <f ca="1">IF(ROWS($1:30)&gt;COUNT(Dong1),"",OFFSET(TH!E$1,SMALL(Dong1,ROWS($1:30)),))</f>
        <v>42676</v>
      </c>
      <c r="C43" s="114" t="str">
        <f ca="1">IF(ROWS($1:30)&gt;COUNT(Dong1),"",IF(OFFSET(TH!N$1,SMALL(Dong1,ROWS($1:30)),)="1111",OFFSET(TH!D$1,SMALL(Dong1,ROWS($1:30)),),""))</f>
        <v/>
      </c>
      <c r="D43" s="115" t="str">
        <f ca="1">IF(ROWS($1:30)&gt;COUNT(Dong1),"",IF(OFFSET(TH!O$1,SMALL(Dong1,ROWS($1:30)),)="1111",OFFSET(TH!D$1,SMALL(Dong1,ROWS($1:30)),),""))</f>
        <v>C24</v>
      </c>
      <c r="E43" s="166" t="str">
        <f ca="1">IF(ROWS($1:30)&gt;COUNT(Dong1),"",OFFSET(TH!F$1,SMALL(Dong1,ROWS($1:30)),))</f>
        <v>Tiền bột &amp; soda</v>
      </c>
      <c r="F43" s="117">
        <f ca="1">IF(ROWS($1:30)&gt;COUNT(Dong1),"",IF(OFFSET(TH!O$1,SMALL(Dong1,ROWS($1:30)),)="1111",OFFSET(TH!N$1,SMALL(Dong1,ROWS($1:30)),),OFFSET(TH!O$1,SMALL(Dong1,ROWS($1:30)),)))</f>
        <v>0</v>
      </c>
      <c r="G43" s="118">
        <f ca="1">IF(ROWS($1:30)&gt;COUNT(Dong1),"",IF(OFFSET(TH!N$1,SMALL(Dong1,ROWS($1:30)),)="1111",OFFSET(TH!M$1,SMALL(Dong1,ROWS($1:30)),),0))</f>
        <v>0</v>
      </c>
      <c r="H43" s="116">
        <f ca="1">IF(ROWS($1:30)&gt;COUNT(Dong1),"",IF(OFFSET(TH!O$1,SMALL(Dong1,ROWS($1:30)),)="1111",OFFSET(TH!M$1,SMALL(Dong1,ROWS($1:30)),),0))</f>
        <v>2400000</v>
      </c>
      <c r="I43" s="114">
        <f t="shared" ca="1" si="0"/>
        <v>630436000</v>
      </c>
      <c r="J43" s="119"/>
    </row>
    <row r="44" spans="1:10" ht="19.5" customHeight="1">
      <c r="A44" s="113">
        <f ca="1">IF(ROWS($1:31)&gt;COUNT(Dong1),"",OFFSET(TH!C$1,SMALL(Dong1,ROWS($1:31)),))</f>
        <v>42676</v>
      </c>
      <c r="B44" s="113">
        <f ca="1">IF(ROWS($1:31)&gt;COUNT(Dong1),"",OFFSET(TH!E$1,SMALL(Dong1,ROWS($1:31)),))</f>
        <v>42676</v>
      </c>
      <c r="C44" s="114" t="str">
        <f ca="1">IF(ROWS($1:31)&gt;COUNT(Dong1),"",IF(OFFSET(TH!N$1,SMALL(Dong1,ROWS($1:31)),)="1111",OFFSET(TH!D$1,SMALL(Dong1,ROWS($1:31)),),""))</f>
        <v/>
      </c>
      <c r="D44" s="115" t="str">
        <f ca="1">IF(ROWS($1:31)&gt;COUNT(Dong1),"",IF(OFFSET(TH!O$1,SMALL(Dong1,ROWS($1:31)),)="1111",OFFSET(TH!D$1,SMALL(Dong1,ROWS($1:31)),),""))</f>
        <v>C25</v>
      </c>
      <c r="E44" s="166" t="str">
        <f ca="1">IF(ROWS($1:31)&gt;COUNT(Dong1),"",OFFSET(TH!F$1,SMALL(Dong1,ROWS($1:31)),))</f>
        <v>Tiền chăm sóc cây kiểng T9/16</v>
      </c>
      <c r="F44" s="117">
        <f ca="1">IF(ROWS($1:31)&gt;COUNT(Dong1),"",IF(OFFSET(TH!O$1,SMALL(Dong1,ROWS($1:31)),)="1111",OFFSET(TH!N$1,SMALL(Dong1,ROWS($1:31)),),OFFSET(TH!O$1,SMALL(Dong1,ROWS($1:31)),)))</f>
        <v>0</v>
      </c>
      <c r="G44" s="118">
        <f ca="1">IF(ROWS($1:31)&gt;COUNT(Dong1),"",IF(OFFSET(TH!N$1,SMALL(Dong1,ROWS($1:31)),)="1111",OFFSET(TH!M$1,SMALL(Dong1,ROWS($1:31)),),0))</f>
        <v>0</v>
      </c>
      <c r="H44" s="116">
        <f ca="1">IF(ROWS($1:31)&gt;COUNT(Dong1),"",IF(OFFSET(TH!O$1,SMALL(Dong1,ROWS($1:31)),)="1111",OFFSET(TH!M$1,SMALL(Dong1,ROWS($1:31)),),0))</f>
        <v>5500000</v>
      </c>
      <c r="I44" s="114">
        <f t="shared" ca="1" si="0"/>
        <v>624936000</v>
      </c>
      <c r="J44" s="119"/>
    </row>
    <row r="45" spans="1:10" ht="19.5" customHeight="1">
      <c r="A45" s="113">
        <f ca="1">IF(ROWS($1:32)&gt;COUNT(Dong1),"",OFFSET(TH!C$1,SMALL(Dong1,ROWS($1:32)),))</f>
        <v>42676</v>
      </c>
      <c r="B45" s="113">
        <f ca="1">IF(ROWS($1:32)&gt;COUNT(Dong1),"",OFFSET(TH!E$1,SMALL(Dong1,ROWS($1:32)),))</f>
        <v>42676</v>
      </c>
      <c r="C45" s="114" t="str">
        <f ca="1">IF(ROWS($1:32)&gt;COUNT(Dong1),"",IF(OFFSET(TH!N$1,SMALL(Dong1,ROWS($1:32)),)="1111",OFFSET(TH!D$1,SMALL(Dong1,ROWS($1:32)),),""))</f>
        <v/>
      </c>
      <c r="D45" s="115" t="str">
        <f ca="1">IF(ROWS($1:32)&gt;COUNT(Dong1),"",IF(OFFSET(TH!O$1,SMALL(Dong1,ROWS($1:32)),)="1111",OFFSET(TH!D$1,SMALL(Dong1,ROWS($1:32)),),""))</f>
        <v>C26</v>
      </c>
      <c r="E45" s="166" t="str">
        <f ca="1">IF(ROWS($1:32)&gt;COUNT(Dong1),"",OFFSET(TH!F$1,SMALL(Dong1,ROWS($1:32)),))</f>
        <v>Trả tiền cá</v>
      </c>
      <c r="F45" s="117" t="str">
        <f ca="1">IF(ROWS($1:32)&gt;COUNT(Dong1),"",IF(OFFSET(TH!O$1,SMALL(Dong1,ROWS($1:32)),)="1111",OFFSET(TH!N$1,SMALL(Dong1,ROWS($1:32)),),OFFSET(TH!O$1,SMALL(Dong1,ROWS($1:32)),)))</f>
        <v>331</v>
      </c>
      <c r="G45" s="118">
        <f ca="1">IF(ROWS($1:32)&gt;COUNT(Dong1),"",IF(OFFSET(TH!N$1,SMALL(Dong1,ROWS($1:32)),)="1111",OFFSET(TH!M$1,SMALL(Dong1,ROWS($1:32)),),0))</f>
        <v>0</v>
      </c>
      <c r="H45" s="116">
        <f ca="1">IF(ROWS($1:32)&gt;COUNT(Dong1),"",IF(OFFSET(TH!O$1,SMALL(Dong1,ROWS($1:32)),)="1111",OFFSET(TH!M$1,SMALL(Dong1,ROWS($1:32)),),0))</f>
        <v>150000000</v>
      </c>
      <c r="I45" s="114">
        <f t="shared" ca="1" si="0"/>
        <v>474936000</v>
      </c>
      <c r="J45" s="119"/>
    </row>
    <row r="46" spans="1:10" ht="19.5" customHeight="1">
      <c r="A46" s="113">
        <f ca="1">IF(ROWS($1:33)&gt;COUNT(Dong1),"",OFFSET(TH!C$1,SMALL(Dong1,ROWS($1:33)),))</f>
        <v>42676</v>
      </c>
      <c r="B46" s="113">
        <f ca="1">IF(ROWS($1:33)&gt;COUNT(Dong1),"",OFFSET(TH!E$1,SMALL(Dong1,ROWS($1:33)),))</f>
        <v>42676</v>
      </c>
      <c r="C46" s="114" t="str">
        <f ca="1">IF(ROWS($1:33)&gt;COUNT(Dong1),"",IF(OFFSET(TH!N$1,SMALL(Dong1,ROWS($1:33)),)="1111",OFFSET(TH!D$1,SMALL(Dong1,ROWS($1:33)),),""))</f>
        <v/>
      </c>
      <c r="D46" s="115" t="str">
        <f ca="1">IF(ROWS($1:33)&gt;COUNT(Dong1),"",IF(OFFSET(TH!O$1,SMALL(Dong1,ROWS($1:33)),)="1111",OFFSET(TH!D$1,SMALL(Dong1,ROWS($1:33)),),""))</f>
        <v>C27</v>
      </c>
      <c r="E46" s="166" t="str">
        <f ca="1">IF(ROWS($1:33)&gt;COUNT(Dong1),"",OFFSET(TH!F$1,SMALL(Dong1,ROWS($1:33)),))</f>
        <v>Trả tiền cá</v>
      </c>
      <c r="F46" s="117" t="str">
        <f ca="1">IF(ROWS($1:33)&gt;COUNT(Dong1),"",IF(OFFSET(TH!O$1,SMALL(Dong1,ROWS($1:33)),)="1111",OFFSET(TH!N$1,SMALL(Dong1,ROWS($1:33)),),OFFSET(TH!O$1,SMALL(Dong1,ROWS($1:33)),)))</f>
        <v>331</v>
      </c>
      <c r="G46" s="118">
        <f ca="1">IF(ROWS($1:33)&gt;COUNT(Dong1),"",IF(OFFSET(TH!N$1,SMALL(Dong1,ROWS($1:33)),)="1111",OFFSET(TH!M$1,SMALL(Dong1,ROWS($1:33)),),0))</f>
        <v>0</v>
      </c>
      <c r="H46" s="116">
        <f ca="1">IF(ROWS($1:33)&gt;COUNT(Dong1),"",IF(OFFSET(TH!O$1,SMALL(Dong1,ROWS($1:33)),)="1111",OFFSET(TH!M$1,SMALL(Dong1,ROWS($1:33)),),0))</f>
        <v>243680000</v>
      </c>
      <c r="I46" s="114">
        <f t="shared" ca="1" si="0"/>
        <v>231256000</v>
      </c>
      <c r="J46" s="119"/>
    </row>
    <row r="47" spans="1:10" ht="19.5" customHeight="1">
      <c r="A47" s="113">
        <f ca="1">IF(ROWS($1:34)&gt;COUNT(Dong1),"",OFFSET(TH!C$1,SMALL(Dong1,ROWS($1:34)),))</f>
        <v>42676</v>
      </c>
      <c r="B47" s="113">
        <f ca="1">IF(ROWS($1:34)&gt;COUNT(Dong1),"",OFFSET(TH!E$1,SMALL(Dong1,ROWS($1:34)),))</f>
        <v>42676</v>
      </c>
      <c r="C47" s="114" t="str">
        <f ca="1">IF(ROWS($1:34)&gt;COUNT(Dong1),"",IF(OFFSET(TH!N$1,SMALL(Dong1,ROWS($1:34)),)="1111",OFFSET(TH!D$1,SMALL(Dong1,ROWS($1:34)),),""))</f>
        <v/>
      </c>
      <c r="D47" s="115" t="str">
        <f ca="1">IF(ROWS($1:34)&gt;COUNT(Dong1),"",IF(OFFSET(TH!O$1,SMALL(Dong1,ROWS($1:34)),)="1111",OFFSET(TH!D$1,SMALL(Dong1,ROWS($1:34)),),""))</f>
        <v>C28</v>
      </c>
      <c r="E47" s="166" t="str">
        <f ca="1">IF(ROWS($1:34)&gt;COUNT(Dong1),"",OFFSET(TH!F$1,SMALL(Dong1,ROWS($1:34)),))</f>
        <v>tiền cơm 7.8.9</v>
      </c>
      <c r="F47" s="117">
        <f ca="1">IF(ROWS($1:34)&gt;COUNT(Dong1),"",IF(OFFSET(TH!O$1,SMALL(Dong1,ROWS($1:34)),)="1111",OFFSET(TH!N$1,SMALL(Dong1,ROWS($1:34)),),OFFSET(TH!O$1,SMALL(Dong1,ROWS($1:34)),)))</f>
        <v>0</v>
      </c>
      <c r="G47" s="118">
        <f ca="1">IF(ROWS($1:34)&gt;COUNT(Dong1),"",IF(OFFSET(TH!N$1,SMALL(Dong1,ROWS($1:34)),)="1111",OFFSET(TH!M$1,SMALL(Dong1,ROWS($1:34)),),0))</f>
        <v>0</v>
      </c>
      <c r="H47" s="116">
        <f ca="1">IF(ROWS($1:34)&gt;COUNT(Dong1),"",IF(OFFSET(TH!O$1,SMALL(Dong1,ROWS($1:34)),)="1111",OFFSET(TH!M$1,SMALL(Dong1,ROWS($1:34)),),0))</f>
        <v>51516000</v>
      </c>
      <c r="I47" s="114">
        <f t="shared" ca="1" si="0"/>
        <v>179740000</v>
      </c>
      <c r="J47" s="119"/>
    </row>
    <row r="48" spans="1:10" ht="19.5" customHeight="1">
      <c r="A48" s="113">
        <f ca="1">IF(ROWS($1:35)&gt;COUNT(Dong1),"",OFFSET(TH!C$1,SMALL(Dong1,ROWS($1:35)),))</f>
        <v>42676</v>
      </c>
      <c r="B48" s="113">
        <f ca="1">IF(ROWS($1:35)&gt;COUNT(Dong1),"",OFFSET(TH!E$1,SMALL(Dong1,ROWS($1:35)),))</f>
        <v>42676</v>
      </c>
      <c r="C48" s="114" t="str">
        <f ca="1">IF(ROWS($1:35)&gt;COUNT(Dong1),"",IF(OFFSET(TH!N$1,SMALL(Dong1,ROWS($1:35)),)="1111",OFFSET(TH!D$1,SMALL(Dong1,ROWS($1:35)),),""))</f>
        <v/>
      </c>
      <c r="D48" s="115" t="str">
        <f ca="1">IF(ROWS($1:35)&gt;COUNT(Dong1),"",IF(OFFSET(TH!O$1,SMALL(Dong1,ROWS($1:35)),)="1111",OFFSET(TH!D$1,SMALL(Dong1,ROWS($1:35)),),""))</f>
        <v>C29</v>
      </c>
      <c r="E48" s="166" t="str">
        <f ca="1">IF(ROWS($1:35)&gt;COUNT(Dong1),"",OFFSET(TH!F$1,SMALL(Dong1,ROWS($1:35)),))</f>
        <v>Hoa hống APT</v>
      </c>
      <c r="F48" s="117">
        <f ca="1">IF(ROWS($1:35)&gt;COUNT(Dong1),"",IF(OFFSET(TH!O$1,SMALL(Dong1,ROWS($1:35)),)="1111",OFFSET(TH!N$1,SMALL(Dong1,ROWS($1:35)),),OFFSET(TH!O$1,SMALL(Dong1,ROWS($1:35)),)))</f>
        <v>0</v>
      </c>
      <c r="G48" s="118">
        <f ca="1">IF(ROWS($1:35)&gt;COUNT(Dong1),"",IF(OFFSET(TH!N$1,SMALL(Dong1,ROWS($1:35)),)="1111",OFFSET(TH!M$1,SMALL(Dong1,ROWS($1:35)),),0))</f>
        <v>0</v>
      </c>
      <c r="H48" s="116">
        <f ca="1">IF(ROWS($1:35)&gt;COUNT(Dong1),"",IF(OFFSET(TH!O$1,SMALL(Dong1,ROWS($1:35)),)="1111",OFFSET(TH!M$1,SMALL(Dong1,ROWS($1:35)),),0))</f>
        <v>117000000</v>
      </c>
      <c r="I48" s="114">
        <f t="shared" ca="1" si="0"/>
        <v>62740000</v>
      </c>
      <c r="J48" s="119"/>
    </row>
    <row r="49" spans="1:10" ht="19.5" customHeight="1">
      <c r="A49" s="113">
        <f ca="1">IF(ROWS($1:36)&gt;COUNT(Dong1),"",OFFSET(TH!C$1,SMALL(Dong1,ROWS($1:36)),))</f>
        <v>42676</v>
      </c>
      <c r="B49" s="113">
        <f ca="1">IF(ROWS($1:36)&gt;COUNT(Dong1),"",OFFSET(TH!E$1,SMALL(Dong1,ROWS($1:36)),))</f>
        <v>42676</v>
      </c>
      <c r="C49" s="114" t="str">
        <f ca="1">IF(ROWS($1:36)&gt;COUNT(Dong1),"",IF(OFFSET(TH!N$1,SMALL(Dong1,ROWS($1:36)),)="1111",OFFSET(TH!D$1,SMALL(Dong1,ROWS($1:36)),),""))</f>
        <v/>
      </c>
      <c r="D49" s="115" t="str">
        <f ca="1">IF(ROWS($1:36)&gt;COUNT(Dong1),"",IF(OFFSET(TH!O$1,SMALL(Dong1,ROWS($1:36)),)="1111",OFFSET(TH!D$1,SMALL(Dong1,ROWS($1:36)),),""))</f>
        <v>C30</v>
      </c>
      <c r="E49" s="166" t="str">
        <f ca="1">IF(ROWS($1:36)&gt;COUNT(Dong1),"",OFFSET(TH!F$1,SMALL(Dong1,ROWS($1:36)),))</f>
        <v>Chi phí chú Duy</v>
      </c>
      <c r="F49" s="117">
        <f ca="1">IF(ROWS($1:36)&gt;COUNT(Dong1),"",IF(OFFSET(TH!O$1,SMALL(Dong1,ROWS($1:36)),)="1111",OFFSET(TH!N$1,SMALL(Dong1,ROWS($1:36)),),OFFSET(TH!O$1,SMALL(Dong1,ROWS($1:36)),)))</f>
        <v>0</v>
      </c>
      <c r="G49" s="118">
        <f ca="1">IF(ROWS($1:36)&gt;COUNT(Dong1),"",IF(OFFSET(TH!N$1,SMALL(Dong1,ROWS($1:36)),)="1111",OFFSET(TH!M$1,SMALL(Dong1,ROWS($1:36)),),0))</f>
        <v>0</v>
      </c>
      <c r="H49" s="116">
        <f ca="1">IF(ROWS($1:36)&gt;COUNT(Dong1),"",IF(OFFSET(TH!O$1,SMALL(Dong1,ROWS($1:36)),)="1111",OFFSET(TH!M$1,SMALL(Dong1,ROWS($1:36)),),0))</f>
        <v>10200000</v>
      </c>
      <c r="I49" s="114">
        <f t="shared" ca="1" si="0"/>
        <v>52540000</v>
      </c>
      <c r="J49" s="119"/>
    </row>
    <row r="50" spans="1:10" ht="19.5" customHeight="1">
      <c r="A50" s="113">
        <f ca="1">IF(ROWS($1:37)&gt;COUNT(Dong1),"",OFFSET(TH!C$1,SMALL(Dong1,ROWS($1:37)),))</f>
        <v>42676</v>
      </c>
      <c r="B50" s="113">
        <f ca="1">IF(ROWS($1:37)&gt;COUNT(Dong1),"",OFFSET(TH!E$1,SMALL(Dong1,ROWS($1:37)),))</f>
        <v>42676</v>
      </c>
      <c r="C50" s="114" t="str">
        <f ca="1">IF(ROWS($1:37)&gt;COUNT(Dong1),"",IF(OFFSET(TH!N$1,SMALL(Dong1,ROWS($1:37)),)="1111",OFFSET(TH!D$1,SMALL(Dong1,ROWS($1:37)),),""))</f>
        <v/>
      </c>
      <c r="D50" s="115" t="str">
        <f ca="1">IF(ROWS($1:37)&gt;COUNT(Dong1),"",IF(OFFSET(TH!O$1,SMALL(Dong1,ROWS($1:37)),)="1111",OFFSET(TH!D$1,SMALL(Dong1,ROWS($1:37)),),""))</f>
        <v>C31</v>
      </c>
      <c r="E50" s="166" t="str">
        <f ca="1">IF(ROWS($1:37)&gt;COUNT(Dong1),"",OFFSET(TH!F$1,SMALL(Dong1,ROWS($1:37)),))</f>
        <v>Tiền nhãn Tân Minh Thư</v>
      </c>
      <c r="F50" s="117">
        <f ca="1">IF(ROWS($1:37)&gt;COUNT(Dong1),"",IF(OFFSET(TH!O$1,SMALL(Dong1,ROWS($1:37)),)="1111",OFFSET(TH!N$1,SMALL(Dong1,ROWS($1:37)),),OFFSET(TH!O$1,SMALL(Dong1,ROWS($1:37)),)))</f>
        <v>0</v>
      </c>
      <c r="G50" s="118">
        <f ca="1">IF(ROWS($1:37)&gt;COUNT(Dong1),"",IF(OFFSET(TH!N$1,SMALL(Dong1,ROWS($1:37)),)="1111",OFFSET(TH!M$1,SMALL(Dong1,ROWS($1:37)),),0))</f>
        <v>0</v>
      </c>
      <c r="H50" s="116">
        <f ca="1">IF(ROWS($1:37)&gt;COUNT(Dong1),"",IF(OFFSET(TH!O$1,SMALL(Dong1,ROWS($1:37)),)="1111",OFFSET(TH!M$1,SMALL(Dong1,ROWS($1:37)),),0))</f>
        <v>21262000</v>
      </c>
      <c r="I50" s="114">
        <f t="shared" ca="1" si="0"/>
        <v>31278000</v>
      </c>
      <c r="J50" s="119"/>
    </row>
    <row r="51" spans="1:10" ht="19.5" customHeight="1">
      <c r="A51" s="113">
        <f ca="1">IF(ROWS($1:38)&gt;COUNT(Dong1),"",OFFSET(TH!C$1,SMALL(Dong1,ROWS($1:38)),))</f>
        <v>42677</v>
      </c>
      <c r="B51" s="113">
        <f ca="1">IF(ROWS($1:38)&gt;COUNT(Dong1),"",OFFSET(TH!E$1,SMALL(Dong1,ROWS($1:38)),))</f>
        <v>42677</v>
      </c>
      <c r="C51" s="114" t="str">
        <f ca="1">IF(ROWS($1:38)&gt;COUNT(Dong1),"",IF(OFFSET(TH!N$1,SMALL(Dong1,ROWS($1:38)),)="1111",OFFSET(TH!D$1,SMALL(Dong1,ROWS($1:38)),),""))</f>
        <v/>
      </c>
      <c r="D51" s="115" t="str">
        <f ca="1">IF(ROWS($1:38)&gt;COUNT(Dong1),"",IF(OFFSET(TH!O$1,SMALL(Dong1,ROWS($1:38)),)="1111",OFFSET(TH!D$1,SMALL(Dong1,ROWS($1:38)),),""))</f>
        <v>C32</v>
      </c>
      <c r="E51" s="166" t="str">
        <f ca="1">IF(ROWS($1:38)&gt;COUNT(Dong1),"",OFFSET(TH!F$1,SMALL(Dong1,ROWS($1:38)),))</f>
        <v>Đặt cọc lịch</v>
      </c>
      <c r="F51" s="117">
        <f ca="1">IF(ROWS($1:38)&gt;COUNT(Dong1),"",IF(OFFSET(TH!O$1,SMALL(Dong1,ROWS($1:38)),)="1111",OFFSET(TH!N$1,SMALL(Dong1,ROWS($1:38)),),OFFSET(TH!O$1,SMALL(Dong1,ROWS($1:38)),)))</f>
        <v>0</v>
      </c>
      <c r="G51" s="118">
        <f ca="1">IF(ROWS($1:38)&gt;COUNT(Dong1),"",IF(OFFSET(TH!N$1,SMALL(Dong1,ROWS($1:38)),)="1111",OFFSET(TH!M$1,SMALL(Dong1,ROWS($1:38)),),0))</f>
        <v>0</v>
      </c>
      <c r="H51" s="116">
        <f ca="1">IF(ROWS($1:38)&gt;COUNT(Dong1),"",IF(OFFSET(TH!O$1,SMALL(Dong1,ROWS($1:38)),)="1111",OFFSET(TH!M$1,SMALL(Dong1,ROWS($1:38)),),0))</f>
        <v>5000000</v>
      </c>
      <c r="I51" s="114">
        <f t="shared" ca="1" si="0"/>
        <v>26278000</v>
      </c>
      <c r="J51" s="119"/>
    </row>
    <row r="52" spans="1:10" ht="19.5" customHeight="1">
      <c r="A52" s="113">
        <f ca="1">IF(ROWS($1:39)&gt;COUNT(Dong1),"",OFFSET(TH!C$1,SMALL(Dong1,ROWS($1:39)),))</f>
        <v>42677</v>
      </c>
      <c r="B52" s="113">
        <f ca="1">IF(ROWS($1:39)&gt;COUNT(Dong1),"",OFFSET(TH!E$1,SMALL(Dong1,ROWS($1:39)),))</f>
        <v>42677</v>
      </c>
      <c r="C52" s="114" t="str">
        <f ca="1">IF(ROWS($1:39)&gt;COUNT(Dong1),"",IF(OFFSET(TH!N$1,SMALL(Dong1,ROWS($1:39)),)="1111",OFFSET(TH!D$1,SMALL(Dong1,ROWS($1:39)),),""))</f>
        <v/>
      </c>
      <c r="D52" s="115" t="str">
        <f ca="1">IF(ROWS($1:39)&gt;COUNT(Dong1),"",IF(OFFSET(TH!O$1,SMALL(Dong1,ROWS($1:39)),)="1111",OFFSET(TH!D$1,SMALL(Dong1,ROWS($1:39)),),""))</f>
        <v>C33</v>
      </c>
      <c r="E52" s="166" t="str">
        <f ca="1">IF(ROWS($1:39)&gt;COUNT(Dong1),"",OFFSET(TH!F$1,SMALL(Dong1,ROWS($1:39)),))</f>
        <v>Tiền xăng dầu</v>
      </c>
      <c r="F52" s="117">
        <f ca="1">IF(ROWS($1:39)&gt;COUNT(Dong1),"",IF(OFFSET(TH!O$1,SMALL(Dong1,ROWS($1:39)),)="1111",OFFSET(TH!N$1,SMALL(Dong1,ROWS($1:39)),),OFFSET(TH!O$1,SMALL(Dong1,ROWS($1:39)),)))</f>
        <v>0</v>
      </c>
      <c r="G52" s="118">
        <f ca="1">IF(ROWS($1:39)&gt;COUNT(Dong1),"",IF(OFFSET(TH!N$1,SMALL(Dong1,ROWS($1:39)),)="1111",OFFSET(TH!M$1,SMALL(Dong1,ROWS($1:39)),),0))</f>
        <v>0</v>
      </c>
      <c r="H52" s="116">
        <f ca="1">IF(ROWS($1:39)&gt;COUNT(Dong1),"",IF(OFFSET(TH!O$1,SMALL(Dong1,ROWS($1:39)),)="1111",OFFSET(TH!M$1,SMALL(Dong1,ROWS($1:39)),),0))</f>
        <v>8823000</v>
      </c>
      <c r="I52" s="114">
        <f t="shared" ca="1" si="0"/>
        <v>17455000</v>
      </c>
      <c r="J52" s="119"/>
    </row>
    <row r="53" spans="1:10" ht="19.5" customHeight="1">
      <c r="A53" s="113">
        <f ca="1">IF(ROWS($1:40)&gt;COUNT(Dong1),"",OFFSET(TH!C$1,SMALL(Dong1,ROWS($1:40)),))</f>
        <v>42677</v>
      </c>
      <c r="B53" s="113">
        <f ca="1">IF(ROWS($1:40)&gt;COUNT(Dong1),"",OFFSET(TH!E$1,SMALL(Dong1,ROWS($1:40)),))</f>
        <v>42677</v>
      </c>
      <c r="C53" s="114" t="str">
        <f ca="1">IF(ROWS($1:40)&gt;COUNT(Dong1),"",IF(OFFSET(TH!N$1,SMALL(Dong1,ROWS($1:40)),)="1111",OFFSET(TH!D$1,SMALL(Dong1,ROWS($1:40)),),""))</f>
        <v/>
      </c>
      <c r="D53" s="115" t="str">
        <f ca="1">IF(ROWS($1:40)&gt;COUNT(Dong1),"",IF(OFFSET(TH!O$1,SMALL(Dong1,ROWS($1:40)),)="1111",OFFSET(TH!D$1,SMALL(Dong1,ROWS($1:40)),),""))</f>
        <v>C34</v>
      </c>
      <c r="E53" s="166" t="str">
        <f ca="1">IF(ROWS($1:40)&gt;COUNT(Dong1),"",OFFSET(TH!F$1,SMALL(Dong1,ROWS($1:40)),))</f>
        <v>tiền gửi thư bưu chính T7 + T8/16</v>
      </c>
      <c r="F53" s="117">
        <f ca="1">IF(ROWS($1:40)&gt;COUNT(Dong1),"",IF(OFFSET(TH!O$1,SMALL(Dong1,ROWS($1:40)),)="1111",OFFSET(TH!N$1,SMALL(Dong1,ROWS($1:40)),),OFFSET(TH!O$1,SMALL(Dong1,ROWS($1:40)),)))</f>
        <v>0</v>
      </c>
      <c r="G53" s="118">
        <f ca="1">IF(ROWS($1:40)&gt;COUNT(Dong1),"",IF(OFFSET(TH!N$1,SMALL(Dong1,ROWS($1:40)),)="1111",OFFSET(TH!M$1,SMALL(Dong1,ROWS($1:40)),),0))</f>
        <v>0</v>
      </c>
      <c r="H53" s="116">
        <f ca="1">IF(ROWS($1:40)&gt;COUNT(Dong1),"",IF(OFFSET(TH!O$1,SMALL(Dong1,ROWS($1:40)),)="1111",OFFSET(TH!M$1,SMALL(Dong1,ROWS($1:40)),),0))</f>
        <v>150000</v>
      </c>
      <c r="I53" s="114">
        <f t="shared" ca="1" si="0"/>
        <v>17305000</v>
      </c>
      <c r="J53" s="119"/>
    </row>
    <row r="54" spans="1:10" ht="19.5" customHeight="1">
      <c r="A54" s="113">
        <f ca="1">IF(ROWS($1:41)&gt;COUNT(Dong1),"",OFFSET(TH!C$1,SMALL(Dong1,ROWS($1:41)),))</f>
        <v>42677</v>
      </c>
      <c r="B54" s="113">
        <f ca="1">IF(ROWS($1:41)&gt;COUNT(Dong1),"",OFFSET(TH!E$1,SMALL(Dong1,ROWS($1:41)),))</f>
        <v>42677</v>
      </c>
      <c r="C54" s="114" t="str">
        <f ca="1">IF(ROWS($1:41)&gt;COUNT(Dong1),"",IF(OFFSET(TH!N$1,SMALL(Dong1,ROWS($1:41)),)="1111",OFFSET(TH!D$1,SMALL(Dong1,ROWS($1:41)),),""))</f>
        <v>T05</v>
      </c>
      <c r="D54" s="115" t="str">
        <f ca="1">IF(ROWS($1:41)&gt;COUNT(Dong1),"",IF(OFFSET(TH!O$1,SMALL(Dong1,ROWS($1:41)),)="1111",OFFSET(TH!D$1,SMALL(Dong1,ROWS($1:41)),),""))</f>
        <v/>
      </c>
      <c r="E54" s="166" t="str">
        <f ca="1">IF(ROWS($1:41)&gt;COUNT(Dong1),"",OFFSET(TH!F$1,SMALL(Dong1,ROWS($1:41)),))</f>
        <v>Thu tiền Q11</v>
      </c>
      <c r="F54" s="117">
        <f ca="1">IF(ROWS($1:41)&gt;COUNT(Dong1),"",IF(OFFSET(TH!O$1,SMALL(Dong1,ROWS($1:41)),)="1111",OFFSET(TH!N$1,SMALL(Dong1,ROWS($1:41)),),OFFSET(TH!O$1,SMALL(Dong1,ROWS($1:41)),)))</f>
        <v>0</v>
      </c>
      <c r="G54" s="118">
        <f ca="1">IF(ROWS($1:41)&gt;COUNT(Dong1),"",IF(OFFSET(TH!N$1,SMALL(Dong1,ROWS($1:41)),)="1111",OFFSET(TH!M$1,SMALL(Dong1,ROWS($1:41)),),0))</f>
        <v>270000000</v>
      </c>
      <c r="H54" s="116">
        <f ca="1">IF(ROWS($1:41)&gt;COUNT(Dong1),"",IF(OFFSET(TH!O$1,SMALL(Dong1,ROWS($1:41)),)="1111",OFFSET(TH!M$1,SMALL(Dong1,ROWS($1:41)),),0))</f>
        <v>0</v>
      </c>
      <c r="I54" s="114">
        <f t="shared" ca="1" si="0"/>
        <v>287305000</v>
      </c>
      <c r="J54" s="119"/>
    </row>
    <row r="55" spans="1:10" ht="19.5" customHeight="1">
      <c r="A55" s="113">
        <f ca="1">IF(ROWS($1:42)&gt;COUNT(Dong1),"",OFFSET(TH!C$1,SMALL(Dong1,ROWS($1:42)),))</f>
        <v>42679</v>
      </c>
      <c r="B55" s="113">
        <f ca="1">IF(ROWS($1:42)&gt;COUNT(Dong1),"",OFFSET(TH!E$1,SMALL(Dong1,ROWS($1:42)),))</f>
        <v>42679</v>
      </c>
      <c r="C55" s="114" t="str">
        <f ca="1">IF(ROWS($1:42)&gt;COUNT(Dong1),"",IF(OFFSET(TH!N$1,SMALL(Dong1,ROWS($1:42)),)="1111",OFFSET(TH!D$1,SMALL(Dong1,ROWS($1:42)),),""))</f>
        <v/>
      </c>
      <c r="D55" s="115" t="str">
        <f ca="1">IF(ROWS($1:42)&gt;COUNT(Dong1),"",IF(OFFSET(TH!O$1,SMALL(Dong1,ROWS($1:42)),)="1111",OFFSET(TH!D$1,SMALL(Dong1,ROWS($1:42)),),""))</f>
        <v>C35</v>
      </c>
      <c r="E55" s="166" t="str">
        <f ca="1">IF(ROWS($1:42)&gt;COUNT(Dong1),"",OFFSET(TH!F$1,SMALL(Dong1,ROWS($1:42)),))</f>
        <v>Tiền Khánh Trân</v>
      </c>
      <c r="F55" s="117">
        <f ca="1">IF(ROWS($1:42)&gt;COUNT(Dong1),"",IF(OFFSET(TH!O$1,SMALL(Dong1,ROWS($1:42)),)="1111",OFFSET(TH!N$1,SMALL(Dong1,ROWS($1:42)),),OFFSET(TH!O$1,SMALL(Dong1,ROWS($1:42)),)))</f>
        <v>0</v>
      </c>
      <c r="G55" s="118">
        <f ca="1">IF(ROWS($1:42)&gt;COUNT(Dong1),"",IF(OFFSET(TH!N$1,SMALL(Dong1,ROWS($1:42)),)="1111",OFFSET(TH!M$1,SMALL(Dong1,ROWS($1:42)),),0))</f>
        <v>0</v>
      </c>
      <c r="H55" s="116">
        <f ca="1">IF(ROWS($1:42)&gt;COUNT(Dong1),"",IF(OFFSET(TH!O$1,SMALL(Dong1,ROWS($1:42)),)="1111",OFFSET(TH!M$1,SMALL(Dong1,ROWS($1:42)),),0))</f>
        <v>125041000</v>
      </c>
      <c r="I55" s="114">
        <f t="shared" ca="1" si="0"/>
        <v>162264000</v>
      </c>
      <c r="J55" s="119"/>
    </row>
    <row r="56" spans="1:10" ht="19.5" customHeight="1">
      <c r="A56" s="113">
        <f ca="1">IF(ROWS($1:43)&gt;COUNT(Dong1),"",OFFSET(TH!C$1,SMALL(Dong1,ROWS($1:43)),))</f>
        <v>42679</v>
      </c>
      <c r="B56" s="113">
        <f ca="1">IF(ROWS($1:43)&gt;COUNT(Dong1),"",OFFSET(TH!E$1,SMALL(Dong1,ROWS($1:43)),))</f>
        <v>42679</v>
      </c>
      <c r="C56" s="114" t="str">
        <f ca="1">IF(ROWS($1:43)&gt;COUNT(Dong1),"",IF(OFFSET(TH!N$1,SMALL(Dong1,ROWS($1:43)),)="1111",OFFSET(TH!D$1,SMALL(Dong1,ROWS($1:43)),),""))</f>
        <v/>
      </c>
      <c r="D56" s="115" t="str">
        <f ca="1">IF(ROWS($1:43)&gt;COUNT(Dong1),"",IF(OFFSET(TH!O$1,SMALL(Dong1,ROWS($1:43)),)="1111",OFFSET(TH!D$1,SMALL(Dong1,ROWS($1:43)),),""))</f>
        <v>C36</v>
      </c>
      <c r="E56" s="166" t="str">
        <f ca="1">IF(ROWS($1:43)&gt;COUNT(Dong1),"",OFFSET(TH!F$1,SMALL(Dong1,ROWS($1:43)),))</f>
        <v>Thiền chợ</v>
      </c>
      <c r="F56" s="117">
        <f ca="1">IF(ROWS($1:43)&gt;COUNT(Dong1),"",IF(OFFSET(TH!O$1,SMALL(Dong1,ROWS($1:43)),)="1111",OFFSET(TH!N$1,SMALL(Dong1,ROWS($1:43)),),OFFSET(TH!O$1,SMALL(Dong1,ROWS($1:43)),)))</f>
        <v>0</v>
      </c>
      <c r="G56" s="118">
        <f ca="1">IF(ROWS($1:43)&gt;COUNT(Dong1),"",IF(OFFSET(TH!N$1,SMALL(Dong1,ROWS($1:43)),)="1111",OFFSET(TH!M$1,SMALL(Dong1,ROWS($1:43)),),0))</f>
        <v>0</v>
      </c>
      <c r="H56" s="116">
        <f ca="1">IF(ROWS($1:43)&gt;COUNT(Dong1),"",IF(OFFSET(TH!O$1,SMALL(Dong1,ROWS($1:43)),)="1111",OFFSET(TH!M$1,SMALL(Dong1,ROWS($1:43)),),0))</f>
        <v>826000</v>
      </c>
      <c r="I56" s="114">
        <f t="shared" ca="1" si="0"/>
        <v>161438000</v>
      </c>
      <c r="J56" s="119"/>
    </row>
    <row r="57" spans="1:10" ht="19.5" customHeight="1">
      <c r="A57" s="113">
        <f ca="1">IF(ROWS($1:44)&gt;COUNT(Dong1),"",OFFSET(TH!C$1,SMALL(Dong1,ROWS($1:44)),))</f>
        <v>42679</v>
      </c>
      <c r="B57" s="113">
        <f ca="1">IF(ROWS($1:44)&gt;COUNT(Dong1),"",OFFSET(TH!E$1,SMALL(Dong1,ROWS($1:44)),))</f>
        <v>42679</v>
      </c>
      <c r="C57" s="114" t="str">
        <f ca="1">IF(ROWS($1:44)&gt;COUNT(Dong1),"",IF(OFFSET(TH!N$1,SMALL(Dong1,ROWS($1:44)),)="1111",OFFSET(TH!D$1,SMALL(Dong1,ROWS($1:44)),),""))</f>
        <v/>
      </c>
      <c r="D57" s="115" t="str">
        <f ca="1">IF(ROWS($1:44)&gt;COUNT(Dong1),"",IF(OFFSET(TH!O$1,SMALL(Dong1,ROWS($1:44)),)="1111",OFFSET(TH!D$1,SMALL(Dong1,ROWS($1:44)),),""))</f>
        <v>C37</v>
      </c>
      <c r="E57" s="166" t="str">
        <f ca="1">IF(ROWS($1:44)&gt;COUNT(Dong1),"",OFFSET(TH!F$1,SMALL(Dong1,ROWS($1:44)),))</f>
        <v>Lãi vay</v>
      </c>
      <c r="F57" s="117">
        <f ca="1">IF(ROWS($1:44)&gt;COUNT(Dong1),"",IF(OFFSET(TH!O$1,SMALL(Dong1,ROWS($1:44)),)="1111",OFFSET(TH!N$1,SMALL(Dong1,ROWS($1:44)),),OFFSET(TH!O$1,SMALL(Dong1,ROWS($1:44)),)))</f>
        <v>0</v>
      </c>
      <c r="G57" s="118">
        <f ca="1">IF(ROWS($1:44)&gt;COUNT(Dong1),"",IF(OFFSET(TH!N$1,SMALL(Dong1,ROWS($1:44)),)="1111",OFFSET(TH!M$1,SMALL(Dong1,ROWS($1:44)),),0))</f>
        <v>0</v>
      </c>
      <c r="H57" s="116">
        <f ca="1">IF(ROWS($1:44)&gt;COUNT(Dong1),"",IF(OFFSET(TH!O$1,SMALL(Dong1,ROWS($1:44)),)="1111",OFFSET(TH!M$1,SMALL(Dong1,ROWS($1:44)),),0))</f>
        <v>6017000</v>
      </c>
      <c r="I57" s="114">
        <f t="shared" ca="1" si="0"/>
        <v>155421000</v>
      </c>
      <c r="J57" s="119"/>
    </row>
    <row r="58" spans="1:10" ht="19.5" customHeight="1">
      <c r="A58" s="113">
        <f ca="1">IF(ROWS($1:45)&gt;COUNT(Dong1),"",OFFSET(TH!C$1,SMALL(Dong1,ROWS($1:45)),))</f>
        <v>42679</v>
      </c>
      <c r="B58" s="113">
        <f ca="1">IF(ROWS($1:45)&gt;COUNT(Dong1),"",OFFSET(TH!E$1,SMALL(Dong1,ROWS($1:45)),))</f>
        <v>42679</v>
      </c>
      <c r="C58" s="114" t="str">
        <f ca="1">IF(ROWS($1:45)&gt;COUNT(Dong1),"",IF(OFFSET(TH!N$1,SMALL(Dong1,ROWS($1:45)),)="1111",OFFSET(TH!D$1,SMALL(Dong1,ROWS($1:45)),),""))</f>
        <v/>
      </c>
      <c r="D58" s="115" t="str">
        <f ca="1">IF(ROWS($1:45)&gt;COUNT(Dong1),"",IF(OFFSET(TH!O$1,SMALL(Dong1,ROWS($1:45)),)="1111",OFFSET(TH!D$1,SMALL(Dong1,ROWS($1:45)),),""))</f>
        <v>C38</v>
      </c>
      <c r="E58" s="166" t="str">
        <f ca="1">IF(ROWS($1:45)&gt;COUNT(Dong1),"",OFFSET(TH!F$1,SMALL(Dong1,ROWS($1:45)),))</f>
        <v>Mua cân điện tử</v>
      </c>
      <c r="F58" s="117">
        <f ca="1">IF(ROWS($1:45)&gt;COUNT(Dong1),"",IF(OFFSET(TH!O$1,SMALL(Dong1,ROWS($1:45)),)="1111",OFFSET(TH!N$1,SMALL(Dong1,ROWS($1:45)),),OFFSET(TH!O$1,SMALL(Dong1,ROWS($1:45)),)))</f>
        <v>0</v>
      </c>
      <c r="G58" s="118">
        <f ca="1">IF(ROWS($1:45)&gt;COUNT(Dong1),"",IF(OFFSET(TH!N$1,SMALL(Dong1,ROWS($1:45)),)="1111",OFFSET(TH!M$1,SMALL(Dong1,ROWS($1:45)),),0))</f>
        <v>0</v>
      </c>
      <c r="H58" s="116">
        <f ca="1">IF(ROWS($1:45)&gt;COUNT(Dong1),"",IF(OFFSET(TH!O$1,SMALL(Dong1,ROWS($1:45)),)="1111",OFFSET(TH!M$1,SMALL(Dong1,ROWS($1:45)),),0))</f>
        <v>4350000</v>
      </c>
      <c r="I58" s="114">
        <f t="shared" ca="1" si="0"/>
        <v>151071000</v>
      </c>
      <c r="J58" s="119"/>
    </row>
    <row r="59" spans="1:10" ht="19.5" customHeight="1">
      <c r="A59" s="113">
        <f ca="1">IF(ROWS($1:46)&gt;COUNT(Dong1),"",OFFSET(TH!C$1,SMALL(Dong1,ROWS($1:46)),))</f>
        <v>42679</v>
      </c>
      <c r="B59" s="113">
        <f ca="1">IF(ROWS($1:46)&gt;COUNT(Dong1),"",OFFSET(TH!E$1,SMALL(Dong1,ROWS($1:46)),))</f>
        <v>42679</v>
      </c>
      <c r="C59" s="114" t="str">
        <f ca="1">IF(ROWS($1:46)&gt;COUNT(Dong1),"",IF(OFFSET(TH!N$1,SMALL(Dong1,ROWS($1:46)),)="1111",OFFSET(TH!D$1,SMALL(Dong1,ROWS($1:46)),),""))</f>
        <v/>
      </c>
      <c r="D59" s="115" t="str">
        <f ca="1">IF(ROWS($1:46)&gt;COUNT(Dong1),"",IF(OFFSET(TH!O$1,SMALL(Dong1,ROWS($1:46)),)="1111",OFFSET(TH!D$1,SMALL(Dong1,ROWS($1:46)),),""))</f>
        <v>C39</v>
      </c>
      <c r="E59" s="166" t="str">
        <f ca="1">IF(ROWS($1:46)&gt;COUNT(Dong1),"",OFFSET(TH!F$1,SMALL(Dong1,ROWS($1:46)),))</f>
        <v>t/ứng lương</v>
      </c>
      <c r="F59" s="117">
        <f ca="1">IF(ROWS($1:46)&gt;COUNT(Dong1),"",IF(OFFSET(TH!O$1,SMALL(Dong1,ROWS($1:46)),)="1111",OFFSET(TH!N$1,SMALL(Dong1,ROWS($1:46)),),OFFSET(TH!O$1,SMALL(Dong1,ROWS($1:46)),)))</f>
        <v>0</v>
      </c>
      <c r="G59" s="118">
        <f ca="1">IF(ROWS($1:46)&gt;COUNT(Dong1),"",IF(OFFSET(TH!N$1,SMALL(Dong1,ROWS($1:46)),)="1111",OFFSET(TH!M$1,SMALL(Dong1,ROWS($1:46)),),0))</f>
        <v>0</v>
      </c>
      <c r="H59" s="116">
        <f ca="1">IF(ROWS($1:46)&gt;COUNT(Dong1),"",IF(OFFSET(TH!O$1,SMALL(Dong1,ROWS($1:46)),)="1111",OFFSET(TH!M$1,SMALL(Dong1,ROWS($1:46)),),0))</f>
        <v>64118000</v>
      </c>
      <c r="I59" s="114">
        <f t="shared" ca="1" si="0"/>
        <v>86953000</v>
      </c>
      <c r="J59" s="119"/>
    </row>
    <row r="60" spans="1:10" ht="19.5" customHeight="1">
      <c r="A60" s="113">
        <f ca="1">IF(ROWS($1:47)&gt;COUNT(Dong1),"",OFFSET(TH!C$1,SMALL(Dong1,ROWS($1:47)),))</f>
        <v>42679</v>
      </c>
      <c r="B60" s="113">
        <f ca="1">IF(ROWS($1:47)&gt;COUNT(Dong1),"",OFFSET(TH!E$1,SMALL(Dong1,ROWS($1:47)),))</f>
        <v>42679</v>
      </c>
      <c r="C60" s="114" t="str">
        <f ca="1">IF(ROWS($1:47)&gt;COUNT(Dong1),"",IF(OFFSET(TH!N$1,SMALL(Dong1,ROWS($1:47)),)="1111",OFFSET(TH!D$1,SMALL(Dong1,ROWS($1:47)),),""))</f>
        <v/>
      </c>
      <c r="D60" s="115" t="str">
        <f ca="1">IF(ROWS($1:47)&gt;COUNT(Dong1),"",IF(OFFSET(TH!O$1,SMALL(Dong1,ROWS($1:47)),)="1111",OFFSET(TH!D$1,SMALL(Dong1,ROWS($1:47)),),""))</f>
        <v>C40</v>
      </c>
      <c r="E60" s="166" t="str">
        <f ca="1">IF(ROWS($1:47)&gt;COUNT(Dong1),"",OFFSET(TH!F$1,SMALL(Dong1,ROWS($1:47)),))</f>
        <v>Mua gas kho lạnh</v>
      </c>
      <c r="F60" s="117">
        <f ca="1">IF(ROWS($1:47)&gt;COUNT(Dong1),"",IF(OFFSET(TH!O$1,SMALL(Dong1,ROWS($1:47)),)="1111",OFFSET(TH!N$1,SMALL(Dong1,ROWS($1:47)),),OFFSET(TH!O$1,SMALL(Dong1,ROWS($1:47)),)))</f>
        <v>0</v>
      </c>
      <c r="G60" s="118">
        <f ca="1">IF(ROWS($1:47)&gt;COUNT(Dong1),"",IF(OFFSET(TH!N$1,SMALL(Dong1,ROWS($1:47)),)="1111",OFFSET(TH!M$1,SMALL(Dong1,ROWS($1:47)),),0))</f>
        <v>0</v>
      </c>
      <c r="H60" s="116">
        <f ca="1">IF(ROWS($1:47)&gt;COUNT(Dong1),"",IF(OFFSET(TH!O$1,SMALL(Dong1,ROWS($1:47)),)="1111",OFFSET(TH!M$1,SMALL(Dong1,ROWS($1:47)),),0))</f>
        <v>3750000</v>
      </c>
      <c r="I60" s="114">
        <f t="shared" ca="1" si="0"/>
        <v>83203000</v>
      </c>
      <c r="J60" s="119"/>
    </row>
    <row r="61" spans="1:10" ht="19.5" customHeight="1">
      <c r="A61" s="113">
        <f ca="1">IF(ROWS($1:48)&gt;COUNT(Dong1),"",OFFSET(TH!C$1,SMALL(Dong1,ROWS($1:48)),))</f>
        <v>42681</v>
      </c>
      <c r="B61" s="113">
        <f ca="1">IF(ROWS($1:48)&gt;COUNT(Dong1),"",OFFSET(TH!E$1,SMALL(Dong1,ROWS($1:48)),))</f>
        <v>42681</v>
      </c>
      <c r="C61" s="114" t="str">
        <f ca="1">IF(ROWS($1:48)&gt;COUNT(Dong1),"",IF(OFFSET(TH!N$1,SMALL(Dong1,ROWS($1:48)),)="1111",OFFSET(TH!D$1,SMALL(Dong1,ROWS($1:48)),),""))</f>
        <v/>
      </c>
      <c r="D61" s="115" t="str">
        <f ca="1">IF(ROWS($1:48)&gt;COUNT(Dong1),"",IF(OFFSET(TH!O$1,SMALL(Dong1,ROWS($1:48)),)="1111",OFFSET(TH!D$1,SMALL(Dong1,ROWS($1:48)),),""))</f>
        <v>C41</v>
      </c>
      <c r="E61" s="166" t="str">
        <f ca="1">IF(ROWS($1:48)&gt;COUNT(Dong1),"",OFFSET(TH!F$1,SMALL(Dong1,ROWS($1:48)),))</f>
        <v>Lãi vay</v>
      </c>
      <c r="F61" s="117">
        <f ca="1">IF(ROWS($1:48)&gt;COUNT(Dong1),"",IF(OFFSET(TH!O$1,SMALL(Dong1,ROWS($1:48)),)="1111",OFFSET(TH!N$1,SMALL(Dong1,ROWS($1:48)),),OFFSET(TH!O$1,SMALL(Dong1,ROWS($1:48)),)))</f>
        <v>0</v>
      </c>
      <c r="G61" s="118">
        <f ca="1">IF(ROWS($1:48)&gt;COUNT(Dong1),"",IF(OFFSET(TH!N$1,SMALL(Dong1,ROWS($1:48)),)="1111",OFFSET(TH!M$1,SMALL(Dong1,ROWS($1:48)),),0))</f>
        <v>0</v>
      </c>
      <c r="H61" s="116">
        <f ca="1">IF(ROWS($1:48)&gt;COUNT(Dong1),"",IF(OFFSET(TH!O$1,SMALL(Dong1,ROWS($1:48)),)="1111",OFFSET(TH!M$1,SMALL(Dong1,ROWS($1:48)),),0))</f>
        <v>18000000</v>
      </c>
      <c r="I61" s="114">
        <f t="shared" ca="1" si="0"/>
        <v>65203000</v>
      </c>
      <c r="J61" s="119"/>
    </row>
    <row r="62" spans="1:10" ht="19.5" customHeight="1">
      <c r="A62" s="113">
        <f ca="1">IF(ROWS($1:49)&gt;COUNT(Dong1),"",OFFSET(TH!C$1,SMALL(Dong1,ROWS($1:49)),))</f>
        <v>42681</v>
      </c>
      <c r="B62" s="113">
        <f ca="1">IF(ROWS($1:49)&gt;COUNT(Dong1),"",OFFSET(TH!E$1,SMALL(Dong1,ROWS($1:49)),))</f>
        <v>42681</v>
      </c>
      <c r="C62" s="114" t="str">
        <f ca="1">IF(ROWS($1:49)&gt;COUNT(Dong1),"",IF(OFFSET(TH!N$1,SMALL(Dong1,ROWS($1:49)),)="1111",OFFSET(TH!D$1,SMALL(Dong1,ROWS($1:49)),),""))</f>
        <v/>
      </c>
      <c r="D62" s="115" t="str">
        <f ca="1">IF(ROWS($1:49)&gt;COUNT(Dong1),"",IF(OFFSET(TH!O$1,SMALL(Dong1,ROWS($1:49)),)="1111",OFFSET(TH!D$1,SMALL(Dong1,ROWS($1:49)),),""))</f>
        <v>C42</v>
      </c>
      <c r="E62" s="166" t="str">
        <f ca="1">IF(ROWS($1:49)&gt;COUNT(Dong1),"",OFFSET(TH!F$1,SMALL(Dong1,ROWS($1:49)),))</f>
        <v>Lãi vay</v>
      </c>
      <c r="F62" s="117">
        <f ca="1">IF(ROWS($1:49)&gt;COUNT(Dong1),"",IF(OFFSET(TH!O$1,SMALL(Dong1,ROWS($1:49)),)="1111",OFFSET(TH!N$1,SMALL(Dong1,ROWS($1:49)),),OFFSET(TH!O$1,SMALL(Dong1,ROWS($1:49)),)))</f>
        <v>0</v>
      </c>
      <c r="G62" s="118">
        <f ca="1">IF(ROWS($1:49)&gt;COUNT(Dong1),"",IF(OFFSET(TH!N$1,SMALL(Dong1,ROWS($1:49)),)="1111",OFFSET(TH!M$1,SMALL(Dong1,ROWS($1:49)),),0))</f>
        <v>0</v>
      </c>
      <c r="H62" s="116">
        <f ca="1">IF(ROWS($1:49)&gt;COUNT(Dong1),"",IF(OFFSET(TH!O$1,SMALL(Dong1,ROWS($1:49)),)="1111",OFFSET(TH!M$1,SMALL(Dong1,ROWS($1:49)),),0))</f>
        <v>16511000</v>
      </c>
      <c r="I62" s="114">
        <f t="shared" ca="1" si="0"/>
        <v>48692000</v>
      </c>
      <c r="J62" s="119"/>
    </row>
    <row r="63" spans="1:10" ht="19.5" customHeight="1">
      <c r="A63" s="113">
        <f ca="1">IF(ROWS($1:50)&gt;COUNT(Dong1),"",OFFSET(TH!C$1,SMALL(Dong1,ROWS($1:50)),))</f>
        <v>42681</v>
      </c>
      <c r="B63" s="113">
        <f ca="1">IF(ROWS($1:50)&gt;COUNT(Dong1),"",OFFSET(TH!E$1,SMALL(Dong1,ROWS($1:50)),))</f>
        <v>42681</v>
      </c>
      <c r="C63" s="114" t="str">
        <f ca="1">IF(ROWS($1:50)&gt;COUNT(Dong1),"",IF(OFFSET(TH!N$1,SMALL(Dong1,ROWS($1:50)),)="1111",OFFSET(TH!D$1,SMALL(Dong1,ROWS($1:50)),),""))</f>
        <v/>
      </c>
      <c r="D63" s="115" t="str">
        <f ca="1">IF(ROWS($1:50)&gt;COUNT(Dong1),"",IF(OFFSET(TH!O$1,SMALL(Dong1,ROWS($1:50)),)="1111",OFFSET(TH!D$1,SMALL(Dong1,ROWS($1:50)),),""))</f>
        <v>C43</v>
      </c>
      <c r="E63" s="166" t="str">
        <f ca="1">IF(ROWS($1:50)&gt;COUNT(Dong1),"",OFFSET(TH!F$1,SMALL(Dong1,ROWS($1:50)),))</f>
        <v>Tiền đt T9&amp;10 ( C.8)</v>
      </c>
      <c r="F63" s="117">
        <f ca="1">IF(ROWS($1:50)&gt;COUNT(Dong1),"",IF(OFFSET(TH!O$1,SMALL(Dong1,ROWS($1:50)),)="1111",OFFSET(TH!N$1,SMALL(Dong1,ROWS($1:50)),),OFFSET(TH!O$1,SMALL(Dong1,ROWS($1:50)),)))</f>
        <v>0</v>
      </c>
      <c r="G63" s="118">
        <f ca="1">IF(ROWS($1:50)&gt;COUNT(Dong1),"",IF(OFFSET(TH!N$1,SMALL(Dong1,ROWS($1:50)),)="1111",OFFSET(TH!M$1,SMALL(Dong1,ROWS($1:50)),),0))</f>
        <v>0</v>
      </c>
      <c r="H63" s="116">
        <f ca="1">IF(ROWS($1:50)&gt;COUNT(Dong1),"",IF(OFFSET(TH!O$1,SMALL(Dong1,ROWS($1:50)),)="1111",OFFSET(TH!M$1,SMALL(Dong1,ROWS($1:50)),),0))</f>
        <v>5459000</v>
      </c>
      <c r="I63" s="114">
        <f t="shared" ca="1" si="0"/>
        <v>43233000</v>
      </c>
      <c r="J63" s="119"/>
    </row>
    <row r="64" spans="1:10" ht="19.5" customHeight="1">
      <c r="A64" s="113">
        <f ca="1">IF(ROWS($1:51)&gt;COUNT(Dong1),"",OFFSET(TH!C$1,SMALL(Dong1,ROWS($1:51)),))</f>
        <v>42681</v>
      </c>
      <c r="B64" s="113">
        <f ca="1">IF(ROWS($1:51)&gt;COUNT(Dong1),"",OFFSET(TH!E$1,SMALL(Dong1,ROWS($1:51)),))</f>
        <v>42681</v>
      </c>
      <c r="C64" s="114" t="str">
        <f ca="1">IF(ROWS($1:51)&gt;COUNT(Dong1),"",IF(OFFSET(TH!N$1,SMALL(Dong1,ROWS($1:51)),)="1111",OFFSET(TH!D$1,SMALL(Dong1,ROWS($1:51)),),""))</f>
        <v/>
      </c>
      <c r="D64" s="115" t="str">
        <f ca="1">IF(ROWS($1:51)&gt;COUNT(Dong1),"",IF(OFFSET(TH!O$1,SMALL(Dong1,ROWS($1:51)),)="1111",OFFSET(TH!D$1,SMALL(Dong1,ROWS($1:51)),),""))</f>
        <v>C44</v>
      </c>
      <c r="E64" s="166" t="str">
        <f ca="1">IF(ROWS($1:51)&gt;COUNT(Dong1),"",OFFSET(TH!F$1,SMALL(Dong1,ROWS($1:51)),))</f>
        <v>Tiền d8t t10 (C.Duy)</v>
      </c>
      <c r="F64" s="117">
        <f ca="1">IF(ROWS($1:51)&gt;COUNT(Dong1),"",IF(OFFSET(TH!O$1,SMALL(Dong1,ROWS($1:51)),)="1111",OFFSET(TH!N$1,SMALL(Dong1,ROWS($1:51)),),OFFSET(TH!O$1,SMALL(Dong1,ROWS($1:51)),)))</f>
        <v>0</v>
      </c>
      <c r="G64" s="118">
        <f ca="1">IF(ROWS($1:51)&gt;COUNT(Dong1),"",IF(OFFSET(TH!N$1,SMALL(Dong1,ROWS($1:51)),)="1111",OFFSET(TH!M$1,SMALL(Dong1,ROWS($1:51)),),0))</f>
        <v>0</v>
      </c>
      <c r="H64" s="116">
        <f ca="1">IF(ROWS($1:51)&gt;COUNT(Dong1),"",IF(OFFSET(TH!O$1,SMALL(Dong1,ROWS($1:51)),)="1111",OFFSET(TH!M$1,SMALL(Dong1,ROWS($1:51)),),0))</f>
        <v>841000</v>
      </c>
      <c r="I64" s="114">
        <f t="shared" ca="1" si="0"/>
        <v>42392000</v>
      </c>
      <c r="J64" s="119"/>
    </row>
    <row r="65" spans="1:10" ht="19.5" customHeight="1">
      <c r="A65" s="113">
        <f ca="1">IF(ROWS($1:52)&gt;COUNT(Dong1),"",OFFSET(TH!C$1,SMALL(Dong1,ROWS($1:52)),))</f>
        <v>42681</v>
      </c>
      <c r="B65" s="113">
        <f ca="1">IF(ROWS($1:52)&gt;COUNT(Dong1),"",OFFSET(TH!E$1,SMALL(Dong1,ROWS($1:52)),))</f>
        <v>42681</v>
      </c>
      <c r="C65" s="114" t="str">
        <f ca="1">IF(ROWS($1:52)&gt;COUNT(Dong1),"",IF(OFFSET(TH!N$1,SMALL(Dong1,ROWS($1:52)),)="1111",OFFSET(TH!D$1,SMALL(Dong1,ROWS($1:52)),),""))</f>
        <v/>
      </c>
      <c r="D65" s="115" t="str">
        <f ca="1">IF(ROWS($1:52)&gt;COUNT(Dong1),"",IF(OFFSET(TH!O$1,SMALL(Dong1,ROWS($1:52)),)="1111",OFFSET(TH!D$1,SMALL(Dong1,ROWS($1:52)),),""))</f>
        <v>C45</v>
      </c>
      <c r="E65" s="166" t="str">
        <f ca="1">IF(ROWS($1:52)&gt;COUNT(Dong1),"",OFFSET(TH!F$1,SMALL(Dong1,ROWS($1:52)),))</f>
        <v>T/u7ng mua dien tu</v>
      </c>
      <c r="F65" s="117">
        <f ca="1">IF(ROWS($1:52)&gt;COUNT(Dong1),"",IF(OFFSET(TH!O$1,SMALL(Dong1,ROWS($1:52)),)="1111",OFFSET(TH!N$1,SMALL(Dong1,ROWS($1:52)),),OFFSET(TH!O$1,SMALL(Dong1,ROWS($1:52)),)))</f>
        <v>0</v>
      </c>
      <c r="G65" s="118">
        <f ca="1">IF(ROWS($1:52)&gt;COUNT(Dong1),"",IF(OFFSET(TH!N$1,SMALL(Dong1,ROWS($1:52)),)="1111",OFFSET(TH!M$1,SMALL(Dong1,ROWS($1:52)),),0))</f>
        <v>0</v>
      </c>
      <c r="H65" s="116">
        <f ca="1">IF(ROWS($1:52)&gt;COUNT(Dong1),"",IF(OFFSET(TH!O$1,SMALL(Dong1,ROWS($1:52)),)="1111",OFFSET(TH!M$1,SMALL(Dong1,ROWS($1:52)),),0))</f>
        <v>1000000</v>
      </c>
      <c r="I65" s="114">
        <f t="shared" ca="1" si="0"/>
        <v>41392000</v>
      </c>
      <c r="J65" s="119"/>
    </row>
    <row r="66" spans="1:10" ht="19.5" customHeight="1">
      <c r="A66" s="113">
        <f ca="1">IF(ROWS($1:53)&gt;COUNT(Dong1),"",OFFSET(TH!C$1,SMALL(Dong1,ROWS($1:53)),))</f>
        <v>42681</v>
      </c>
      <c r="B66" s="113">
        <f ca="1">IF(ROWS($1:53)&gt;COUNT(Dong1),"",OFFSET(TH!E$1,SMALL(Dong1,ROWS($1:53)),))</f>
        <v>42681</v>
      </c>
      <c r="C66" s="114" t="str">
        <f ca="1">IF(ROWS($1:53)&gt;COUNT(Dong1),"",IF(OFFSET(TH!N$1,SMALL(Dong1,ROWS($1:53)),)="1111",OFFSET(TH!D$1,SMALL(Dong1,ROWS($1:53)),),""))</f>
        <v>T06</v>
      </c>
      <c r="D66" s="115" t="str">
        <f ca="1">IF(ROWS($1:53)&gt;COUNT(Dong1),"",IF(OFFSET(TH!O$1,SMALL(Dong1,ROWS($1:53)),)="1111",OFFSET(TH!D$1,SMALL(Dong1,ROWS($1:53)),),""))</f>
        <v/>
      </c>
      <c r="E66" s="166" t="str">
        <f ca="1">IF(ROWS($1:53)&gt;COUNT(Dong1),"",OFFSET(TH!F$1,SMALL(Dong1,ROWS($1:53)),))</f>
        <v>Thu t/ung PC 11 thang 11</v>
      </c>
      <c r="F66" s="117">
        <f ca="1">IF(ROWS($1:53)&gt;COUNT(Dong1),"",IF(OFFSET(TH!O$1,SMALL(Dong1,ROWS($1:53)),)="1111",OFFSET(TH!N$1,SMALL(Dong1,ROWS($1:53)),),OFFSET(TH!O$1,SMALL(Dong1,ROWS($1:53)),)))</f>
        <v>0</v>
      </c>
      <c r="G66" s="118">
        <f ca="1">IF(ROWS($1:53)&gt;COUNT(Dong1),"",IF(OFFSET(TH!N$1,SMALL(Dong1,ROWS($1:53)),)="1111",OFFSET(TH!M$1,SMALL(Dong1,ROWS($1:53)),),0))</f>
        <v>1000000</v>
      </c>
      <c r="H66" s="116">
        <f ca="1">IF(ROWS($1:53)&gt;COUNT(Dong1),"",IF(OFFSET(TH!O$1,SMALL(Dong1,ROWS($1:53)),)="1111",OFFSET(TH!M$1,SMALL(Dong1,ROWS($1:53)),),0))</f>
        <v>0</v>
      </c>
      <c r="I66" s="114">
        <f t="shared" ca="1" si="0"/>
        <v>42392000</v>
      </c>
      <c r="J66" s="119"/>
    </row>
    <row r="67" spans="1:10" ht="19.5" customHeight="1">
      <c r="A67" s="113">
        <f ca="1">IF(ROWS($1:54)&gt;COUNT(Dong1),"",OFFSET(TH!C$1,SMALL(Dong1,ROWS($1:54)),))</f>
        <v>42681</v>
      </c>
      <c r="B67" s="113">
        <f ca="1">IF(ROWS($1:54)&gt;COUNT(Dong1),"",OFFSET(TH!E$1,SMALL(Dong1,ROWS($1:54)),))</f>
        <v>42681</v>
      </c>
      <c r="C67" s="114" t="str">
        <f ca="1">IF(ROWS($1:54)&gt;COUNT(Dong1),"",IF(OFFSET(TH!N$1,SMALL(Dong1,ROWS($1:54)),)="1111",OFFSET(TH!D$1,SMALL(Dong1,ROWS($1:54)),),""))</f>
        <v/>
      </c>
      <c r="D67" s="115" t="str">
        <f ca="1">IF(ROWS($1:54)&gt;COUNT(Dong1),"",IF(OFFSET(TH!O$1,SMALL(Dong1,ROWS($1:54)),)="1111",OFFSET(TH!D$1,SMALL(Dong1,ROWS($1:54)),),""))</f>
        <v>C46</v>
      </c>
      <c r="E67" s="166" t="str">
        <f ca="1">IF(ROWS($1:54)&gt;COUNT(Dong1),"",OFFSET(TH!F$1,SMALL(Dong1,ROWS($1:54)),))</f>
        <v>Chi phí xuưởng</v>
      </c>
      <c r="F67" s="117">
        <f ca="1">IF(ROWS($1:54)&gt;COUNT(Dong1),"",IF(OFFSET(TH!O$1,SMALL(Dong1,ROWS($1:54)),)="1111",OFFSET(TH!N$1,SMALL(Dong1,ROWS($1:54)),),OFFSET(TH!O$1,SMALL(Dong1,ROWS($1:54)),)))</f>
        <v>0</v>
      </c>
      <c r="G67" s="118">
        <f ca="1">IF(ROWS($1:54)&gt;COUNT(Dong1),"",IF(OFFSET(TH!N$1,SMALL(Dong1,ROWS($1:54)),)="1111",OFFSET(TH!M$1,SMALL(Dong1,ROWS($1:54)),),0))</f>
        <v>0</v>
      </c>
      <c r="H67" s="116">
        <f ca="1">IF(ROWS($1:54)&gt;COUNT(Dong1),"",IF(OFFSET(TH!O$1,SMALL(Dong1,ROWS($1:54)),)="1111",OFFSET(TH!M$1,SMALL(Dong1,ROWS($1:54)),),0))</f>
        <v>1165000</v>
      </c>
      <c r="I67" s="114">
        <f t="shared" ca="1" si="0"/>
        <v>41227000</v>
      </c>
      <c r="J67" s="119"/>
    </row>
    <row r="68" spans="1:10" ht="19.5" customHeight="1">
      <c r="A68" s="113">
        <f ca="1">IF(ROWS($1:55)&gt;COUNT(Dong1),"",OFFSET(TH!C$1,SMALL(Dong1,ROWS($1:55)),))</f>
        <v>42681</v>
      </c>
      <c r="B68" s="113">
        <f ca="1">IF(ROWS($1:55)&gt;COUNT(Dong1),"",OFFSET(TH!E$1,SMALL(Dong1,ROWS($1:55)),))</f>
        <v>42681</v>
      </c>
      <c r="C68" s="114" t="str">
        <f ca="1">IF(ROWS($1:55)&gt;COUNT(Dong1),"",IF(OFFSET(TH!N$1,SMALL(Dong1,ROWS($1:55)),)="1111",OFFSET(TH!D$1,SMALL(Dong1,ROWS($1:55)),),""))</f>
        <v/>
      </c>
      <c r="D68" s="115" t="str">
        <f ca="1">IF(ROWS($1:55)&gt;COUNT(Dong1),"",IF(OFFSET(TH!O$1,SMALL(Dong1,ROWS($1:55)),)="1111",OFFSET(TH!D$1,SMALL(Dong1,ROWS($1:55)),),""))</f>
        <v>C47</v>
      </c>
      <c r="E68" s="166" t="str">
        <f ca="1">IF(ROWS($1:55)&gt;COUNT(Dong1),"",OFFSET(TH!F$1,SMALL(Dong1,ROWS($1:55)),))</f>
        <v>T/uứng chi phí xưởng</v>
      </c>
      <c r="F68" s="117">
        <f ca="1">IF(ROWS($1:55)&gt;COUNT(Dong1),"",IF(OFFSET(TH!O$1,SMALL(Dong1,ROWS($1:55)),)="1111",OFFSET(TH!N$1,SMALL(Dong1,ROWS($1:55)),),OFFSET(TH!O$1,SMALL(Dong1,ROWS($1:55)),)))</f>
        <v>0</v>
      </c>
      <c r="G68" s="118">
        <f ca="1">IF(ROWS($1:55)&gt;COUNT(Dong1),"",IF(OFFSET(TH!N$1,SMALL(Dong1,ROWS($1:55)),)="1111",OFFSET(TH!M$1,SMALL(Dong1,ROWS($1:55)),),0))</f>
        <v>0</v>
      </c>
      <c r="H68" s="116">
        <f ca="1">IF(ROWS($1:55)&gt;COUNT(Dong1),"",IF(OFFSET(TH!O$1,SMALL(Dong1,ROWS($1:55)),)="1111",OFFSET(TH!M$1,SMALL(Dong1,ROWS($1:55)),),0))</f>
        <v>2000000</v>
      </c>
      <c r="I68" s="114">
        <f t="shared" ca="1" si="0"/>
        <v>39227000</v>
      </c>
      <c r="J68" s="119"/>
    </row>
    <row r="69" spans="1:10" ht="19.5" customHeight="1">
      <c r="A69" s="113">
        <f ca="1">IF(ROWS($1:56)&gt;COUNT(Dong1),"",OFFSET(TH!C$1,SMALL(Dong1,ROWS($1:56)),))</f>
        <v>42681</v>
      </c>
      <c r="B69" s="113">
        <f ca="1">IF(ROWS($1:56)&gt;COUNT(Dong1),"",OFFSET(TH!E$1,SMALL(Dong1,ROWS($1:56)),))</f>
        <v>42681</v>
      </c>
      <c r="C69" s="114" t="str">
        <f ca="1">IF(ROWS($1:56)&gt;COUNT(Dong1),"",IF(OFFSET(TH!N$1,SMALL(Dong1,ROWS($1:56)),)="1111",OFFSET(TH!D$1,SMALL(Dong1,ROWS($1:56)),),""))</f>
        <v/>
      </c>
      <c r="D69" s="115" t="str">
        <f ca="1">IF(ROWS($1:56)&gt;COUNT(Dong1),"",IF(OFFSET(TH!O$1,SMALL(Dong1,ROWS($1:56)),)="1111",OFFSET(TH!D$1,SMALL(Dong1,ROWS($1:56)),),""))</f>
        <v>C48</v>
      </c>
      <c r="E69" s="166" t="str">
        <f ca="1">IF(ROWS($1:56)&gt;COUNT(Dong1),"",OFFSET(TH!F$1,SMALL(Dong1,ROWS($1:56)),))</f>
        <v>Mua thức ăn cá</v>
      </c>
      <c r="F69" s="117">
        <f ca="1">IF(ROWS($1:56)&gt;COUNT(Dong1),"",IF(OFFSET(TH!O$1,SMALL(Dong1,ROWS($1:56)),)="1111",OFFSET(TH!N$1,SMALL(Dong1,ROWS($1:56)),),OFFSET(TH!O$1,SMALL(Dong1,ROWS($1:56)),)))</f>
        <v>0</v>
      </c>
      <c r="G69" s="118">
        <f ca="1">IF(ROWS($1:56)&gt;COUNT(Dong1),"",IF(OFFSET(TH!N$1,SMALL(Dong1,ROWS($1:56)),)="1111",OFFSET(TH!M$1,SMALL(Dong1,ROWS($1:56)),),0))</f>
        <v>0</v>
      </c>
      <c r="H69" s="116">
        <f ca="1">IF(ROWS($1:56)&gt;COUNT(Dong1),"",IF(OFFSET(TH!O$1,SMALL(Dong1,ROWS($1:56)),)="1111",OFFSET(TH!M$1,SMALL(Dong1,ROWS($1:56)),),0))</f>
        <v>350000</v>
      </c>
      <c r="I69" s="114">
        <f t="shared" ca="1" si="0"/>
        <v>38877000</v>
      </c>
      <c r="J69" s="119"/>
    </row>
    <row r="70" spans="1:10" ht="19.5" customHeight="1">
      <c r="A70" s="113">
        <f ca="1">IF(ROWS($1:57)&gt;COUNT(Dong1),"",OFFSET(TH!C$1,SMALL(Dong1,ROWS($1:57)),))</f>
        <v>42681</v>
      </c>
      <c r="B70" s="113">
        <f ca="1">IF(ROWS($1:57)&gt;COUNT(Dong1),"",OFFSET(TH!E$1,SMALL(Dong1,ROWS($1:57)),))</f>
        <v>42681</v>
      </c>
      <c r="C70" s="114" t="str">
        <f ca="1">IF(ROWS($1:57)&gt;COUNT(Dong1),"",IF(OFFSET(TH!N$1,SMALL(Dong1,ROWS($1:57)),)="1111",OFFSET(TH!D$1,SMALL(Dong1,ROWS($1:57)),),""))</f>
        <v/>
      </c>
      <c r="D70" s="115" t="str">
        <f ca="1">IF(ROWS($1:57)&gt;COUNT(Dong1),"",IF(OFFSET(TH!O$1,SMALL(Dong1,ROWS($1:57)),)="1111",OFFSET(TH!D$1,SMALL(Dong1,ROWS($1:57)),),""))</f>
        <v>C49</v>
      </c>
      <c r="E70" s="166" t="str">
        <f ca="1">IF(ROWS($1:57)&gt;COUNT(Dong1),"",OFFSET(TH!F$1,SMALL(Dong1,ROWS($1:57)),))</f>
        <v>Tiền dđt (A.Cường)</v>
      </c>
      <c r="F70" s="117">
        <f ca="1">IF(ROWS($1:57)&gt;COUNT(Dong1),"",IF(OFFSET(TH!O$1,SMALL(Dong1,ROWS($1:57)),)="1111",OFFSET(TH!N$1,SMALL(Dong1,ROWS($1:57)),),OFFSET(TH!O$1,SMALL(Dong1,ROWS($1:57)),)))</f>
        <v>0</v>
      </c>
      <c r="G70" s="118">
        <f ca="1">IF(ROWS($1:57)&gt;COUNT(Dong1),"",IF(OFFSET(TH!N$1,SMALL(Dong1,ROWS($1:57)),)="1111",OFFSET(TH!M$1,SMALL(Dong1,ROWS($1:57)),),0))</f>
        <v>0</v>
      </c>
      <c r="H70" s="116">
        <f ca="1">IF(ROWS($1:57)&gt;COUNT(Dong1),"",IF(OFFSET(TH!O$1,SMALL(Dong1,ROWS($1:57)),)="1111",OFFSET(TH!M$1,SMALL(Dong1,ROWS($1:57)),),0))</f>
        <v>500000</v>
      </c>
      <c r="I70" s="114">
        <f t="shared" ca="1" si="0"/>
        <v>38377000</v>
      </c>
      <c r="J70" s="119"/>
    </row>
    <row r="71" spans="1:10" ht="19.5" customHeight="1">
      <c r="A71" s="113">
        <f ca="1">IF(ROWS($1:58)&gt;COUNT(Dong1),"",OFFSET(TH!C$1,SMALL(Dong1,ROWS($1:58)),))</f>
        <v>42682</v>
      </c>
      <c r="B71" s="113">
        <f ca="1">IF(ROWS($1:58)&gt;COUNT(Dong1),"",OFFSET(TH!E$1,SMALL(Dong1,ROWS($1:58)),))</f>
        <v>42682</v>
      </c>
      <c r="C71" s="114" t="str">
        <f ca="1">IF(ROWS($1:58)&gt;COUNT(Dong1),"",IF(OFFSET(TH!N$1,SMALL(Dong1,ROWS($1:58)),)="1111",OFFSET(TH!D$1,SMALL(Dong1,ROWS($1:58)),),""))</f>
        <v/>
      </c>
      <c r="D71" s="115" t="str">
        <f ca="1">IF(ROWS($1:58)&gt;COUNT(Dong1),"",IF(OFFSET(TH!O$1,SMALL(Dong1,ROWS($1:58)),)="1111",OFFSET(TH!D$1,SMALL(Dong1,ROWS($1:58)),),""))</f>
        <v>C50</v>
      </c>
      <c r="E71" s="166" t="str">
        <f ca="1">IF(ROWS($1:58)&gt;COUNT(Dong1),"",OFFSET(TH!F$1,SMALL(Dong1,ROWS($1:58)),))</f>
        <v>t/ứng mua dt</v>
      </c>
      <c r="F71" s="117">
        <f ca="1">IF(ROWS($1:58)&gt;COUNT(Dong1),"",IF(OFFSET(TH!O$1,SMALL(Dong1,ROWS($1:58)),)="1111",OFFSET(TH!N$1,SMALL(Dong1,ROWS($1:58)),),OFFSET(TH!O$1,SMALL(Dong1,ROWS($1:58)),)))</f>
        <v>0</v>
      </c>
      <c r="G71" s="118">
        <f ca="1">IF(ROWS($1:58)&gt;COUNT(Dong1),"",IF(OFFSET(TH!N$1,SMALL(Dong1,ROWS($1:58)),)="1111",OFFSET(TH!M$1,SMALL(Dong1,ROWS($1:58)),),0))</f>
        <v>0</v>
      </c>
      <c r="H71" s="116">
        <f ca="1">IF(ROWS($1:58)&gt;COUNT(Dong1),"",IF(OFFSET(TH!O$1,SMALL(Dong1,ROWS($1:58)),)="1111",OFFSET(TH!M$1,SMALL(Dong1,ROWS($1:58)),),0))</f>
        <v>5000000</v>
      </c>
      <c r="I71" s="114">
        <f t="shared" ca="1" si="0"/>
        <v>33377000</v>
      </c>
      <c r="J71" s="119"/>
    </row>
    <row r="72" spans="1:10" ht="19.5" customHeight="1">
      <c r="A72" s="113">
        <f ca="1">IF(ROWS($1:59)&gt;COUNT(Dong1),"",OFFSET(TH!C$1,SMALL(Dong1,ROWS($1:59)),))</f>
        <v>42682</v>
      </c>
      <c r="B72" s="113">
        <f ca="1">IF(ROWS($1:59)&gt;COUNT(Dong1),"",OFFSET(TH!E$1,SMALL(Dong1,ROWS($1:59)),))</f>
        <v>42682</v>
      </c>
      <c r="C72" s="114" t="str">
        <f ca="1">IF(ROWS($1:59)&gt;COUNT(Dong1),"",IF(OFFSET(TH!N$1,SMALL(Dong1,ROWS($1:59)),)="1111",OFFSET(TH!D$1,SMALL(Dong1,ROWS($1:59)),),""))</f>
        <v/>
      </c>
      <c r="D72" s="115" t="str">
        <f ca="1">IF(ROWS($1:59)&gt;COUNT(Dong1),"",IF(OFFSET(TH!O$1,SMALL(Dong1,ROWS($1:59)),)="1111",OFFSET(TH!D$1,SMALL(Dong1,ROWS($1:59)),),""))</f>
        <v>C51</v>
      </c>
      <c r="E72" s="166" t="str">
        <f ca="1">IF(ROWS($1:59)&gt;COUNT(Dong1),"",OFFSET(TH!F$1,SMALL(Dong1,ROWS($1:59)),))</f>
        <v>tiền chợ nhà</v>
      </c>
      <c r="F72" s="117">
        <f ca="1">IF(ROWS($1:59)&gt;COUNT(Dong1),"",IF(OFFSET(TH!O$1,SMALL(Dong1,ROWS($1:59)),)="1111",OFFSET(TH!N$1,SMALL(Dong1,ROWS($1:59)),),OFFSET(TH!O$1,SMALL(Dong1,ROWS($1:59)),)))</f>
        <v>0</v>
      </c>
      <c r="G72" s="118">
        <f ca="1">IF(ROWS($1:59)&gt;COUNT(Dong1),"",IF(OFFSET(TH!N$1,SMALL(Dong1,ROWS($1:59)),)="1111",OFFSET(TH!M$1,SMALL(Dong1,ROWS($1:59)),),0))</f>
        <v>0</v>
      </c>
      <c r="H72" s="116">
        <f ca="1">IF(ROWS($1:59)&gt;COUNT(Dong1),"",IF(OFFSET(TH!O$1,SMALL(Dong1,ROWS($1:59)),)="1111",OFFSET(TH!M$1,SMALL(Dong1,ROWS($1:59)),),0))</f>
        <v>500000</v>
      </c>
      <c r="I72" s="114">
        <f t="shared" ca="1" si="0"/>
        <v>32877000</v>
      </c>
      <c r="J72" s="119"/>
    </row>
    <row r="73" spans="1:10" ht="19.5" customHeight="1">
      <c r="A73" s="113">
        <f ca="1">IF(ROWS($1:60)&gt;COUNT(Dong1),"",OFFSET(TH!C$1,SMALL(Dong1,ROWS($1:60)),))</f>
        <v>42682</v>
      </c>
      <c r="B73" s="113">
        <f ca="1">IF(ROWS($1:60)&gt;COUNT(Dong1),"",OFFSET(TH!E$1,SMALL(Dong1,ROWS($1:60)),))</f>
        <v>42682</v>
      </c>
      <c r="C73" s="114" t="str">
        <f ca="1">IF(ROWS($1:60)&gt;COUNT(Dong1),"",IF(OFFSET(TH!N$1,SMALL(Dong1,ROWS($1:60)),)="1111",OFFSET(TH!D$1,SMALL(Dong1,ROWS($1:60)),),""))</f>
        <v/>
      </c>
      <c r="D73" s="115" t="str">
        <f ca="1">IF(ROWS($1:60)&gt;COUNT(Dong1),"",IF(OFFSET(TH!O$1,SMALL(Dong1,ROWS($1:60)),)="1111",OFFSET(TH!D$1,SMALL(Dong1,ROWS($1:60)),),""))</f>
        <v>C52</v>
      </c>
      <c r="E73" s="166" t="str">
        <f ca="1">IF(ROWS($1:60)&gt;COUNT(Dong1),"",OFFSET(TH!F$1,SMALL(Dong1,ROWS($1:60)),))</f>
        <v>Mua VPP</v>
      </c>
      <c r="F73" s="117">
        <f ca="1">IF(ROWS($1:60)&gt;COUNT(Dong1),"",IF(OFFSET(TH!O$1,SMALL(Dong1,ROWS($1:60)),)="1111",OFFSET(TH!N$1,SMALL(Dong1,ROWS($1:60)),),OFFSET(TH!O$1,SMALL(Dong1,ROWS($1:60)),)))</f>
        <v>0</v>
      </c>
      <c r="G73" s="118">
        <f ca="1">IF(ROWS($1:60)&gt;COUNT(Dong1),"",IF(OFFSET(TH!N$1,SMALL(Dong1,ROWS($1:60)),)="1111",OFFSET(TH!M$1,SMALL(Dong1,ROWS($1:60)),),0))</f>
        <v>0</v>
      </c>
      <c r="H73" s="116">
        <f ca="1">IF(ROWS($1:60)&gt;COUNT(Dong1),"",IF(OFFSET(TH!O$1,SMALL(Dong1,ROWS($1:60)),)="1111",OFFSET(TH!M$1,SMALL(Dong1,ROWS($1:60)),),0))</f>
        <v>3552000</v>
      </c>
      <c r="I73" s="114">
        <f t="shared" ca="1" si="0"/>
        <v>29325000</v>
      </c>
      <c r="J73" s="119"/>
    </row>
    <row r="74" spans="1:10" ht="19.5" customHeight="1">
      <c r="A74" s="113">
        <f ca="1">IF(ROWS($1:61)&gt;COUNT(Dong1),"",OFFSET(TH!C$1,SMALL(Dong1,ROWS($1:61)),))</f>
        <v>42683</v>
      </c>
      <c r="B74" s="113">
        <f ca="1">IF(ROWS($1:61)&gt;COUNT(Dong1),"",OFFSET(TH!E$1,SMALL(Dong1,ROWS($1:61)),))</f>
        <v>42683</v>
      </c>
      <c r="C74" s="114" t="str">
        <f ca="1">IF(ROWS($1:61)&gt;COUNT(Dong1),"",IF(OFFSET(TH!N$1,SMALL(Dong1,ROWS($1:61)),)="1111",OFFSET(TH!D$1,SMALL(Dong1,ROWS($1:61)),),""))</f>
        <v/>
      </c>
      <c r="D74" s="115" t="str">
        <f ca="1">IF(ROWS($1:61)&gt;COUNT(Dong1),"",IF(OFFSET(TH!O$1,SMALL(Dong1,ROWS($1:61)),)="1111",OFFSET(TH!D$1,SMALL(Dong1,ROWS($1:61)),),""))</f>
        <v>C53</v>
      </c>
      <c r="E74" s="166" t="str">
        <f ca="1">IF(ROWS($1:61)&gt;COUNT(Dong1),"",OFFSET(TH!F$1,SMALL(Dong1,ROWS($1:61)),))</f>
        <v>Nộp TK( cô chú thu)</v>
      </c>
      <c r="F74" s="117">
        <f ca="1">IF(ROWS($1:61)&gt;COUNT(Dong1),"",IF(OFFSET(TH!O$1,SMALL(Dong1,ROWS($1:61)),)="1111",OFFSET(TH!N$1,SMALL(Dong1,ROWS($1:61)),),OFFSET(TH!O$1,SMALL(Dong1,ROWS($1:61)),)))</f>
        <v>0</v>
      </c>
      <c r="G74" s="118">
        <f ca="1">IF(ROWS($1:61)&gt;COUNT(Dong1),"",IF(OFFSET(TH!N$1,SMALL(Dong1,ROWS($1:61)),)="1111",OFFSET(TH!M$1,SMALL(Dong1,ROWS($1:61)),),0))</f>
        <v>0</v>
      </c>
      <c r="H74" s="116">
        <f ca="1">IF(ROWS($1:61)&gt;COUNT(Dong1),"",IF(OFFSET(TH!O$1,SMALL(Dong1,ROWS($1:61)),)="1111",OFFSET(TH!M$1,SMALL(Dong1,ROWS($1:61)),),0))</f>
        <v>15000000</v>
      </c>
      <c r="I74" s="114">
        <f t="shared" ca="1" si="0"/>
        <v>14325000</v>
      </c>
      <c r="J74" s="119"/>
    </row>
    <row r="75" spans="1:10" ht="19.5" customHeight="1">
      <c r="A75" s="113">
        <f ca="1">IF(ROWS($1:62)&gt;COUNT(Dong1),"",OFFSET(TH!C$1,SMALL(Dong1,ROWS($1:62)),))</f>
        <v>42683</v>
      </c>
      <c r="B75" s="113">
        <f ca="1">IF(ROWS($1:62)&gt;COUNT(Dong1),"",OFFSET(TH!E$1,SMALL(Dong1,ROWS($1:62)),))</f>
        <v>42683</v>
      </c>
      <c r="C75" s="114" t="str">
        <f ca="1">IF(ROWS($1:62)&gt;COUNT(Dong1),"",IF(OFFSET(TH!N$1,SMALL(Dong1,ROWS($1:62)),)="1111",OFFSET(TH!D$1,SMALL(Dong1,ROWS($1:62)),),""))</f>
        <v/>
      </c>
      <c r="D75" s="115" t="str">
        <f ca="1">IF(ROWS($1:62)&gt;COUNT(Dong1),"",IF(OFFSET(TH!O$1,SMALL(Dong1,ROWS($1:62)),)="1111",OFFSET(TH!D$1,SMALL(Dong1,ROWS($1:62)),),""))</f>
        <v>C54</v>
      </c>
      <c r="E75" s="166" t="str">
        <f ca="1">IF(ROWS($1:62)&gt;COUNT(Dong1),"",OFFSET(TH!F$1,SMALL(Dong1,ROWS($1:62)),))</f>
        <v>Tiền gas - Tân Haỉ Việt</v>
      </c>
      <c r="F75" s="117">
        <f ca="1">IF(ROWS($1:62)&gt;COUNT(Dong1),"",IF(OFFSET(TH!O$1,SMALL(Dong1,ROWS($1:62)),)="1111",OFFSET(TH!N$1,SMALL(Dong1,ROWS($1:62)),),OFFSET(TH!O$1,SMALL(Dong1,ROWS($1:62)),)))</f>
        <v>0</v>
      </c>
      <c r="G75" s="118">
        <f ca="1">IF(ROWS($1:62)&gt;COUNT(Dong1),"",IF(OFFSET(TH!N$1,SMALL(Dong1,ROWS($1:62)),)="1111",OFFSET(TH!M$1,SMALL(Dong1,ROWS($1:62)),),0))</f>
        <v>0</v>
      </c>
      <c r="H75" s="116">
        <f ca="1">IF(ROWS($1:62)&gt;COUNT(Dong1),"",IF(OFFSET(TH!O$1,SMALL(Dong1,ROWS($1:62)),)="1111",OFFSET(TH!M$1,SMALL(Dong1,ROWS($1:62)),),0))</f>
        <v>10435000</v>
      </c>
      <c r="I75" s="114">
        <f t="shared" ca="1" si="0"/>
        <v>3890000</v>
      </c>
      <c r="J75" s="119"/>
    </row>
    <row r="76" spans="1:10" ht="19.5" customHeight="1">
      <c r="A76" s="113">
        <f ca="1">IF(ROWS($1:63)&gt;COUNT(Dong1),"",OFFSET(TH!C$1,SMALL(Dong1,ROWS($1:63)),))</f>
        <v>42683</v>
      </c>
      <c r="B76" s="113">
        <f ca="1">IF(ROWS($1:63)&gt;COUNT(Dong1),"",OFFSET(TH!E$1,SMALL(Dong1,ROWS($1:63)),))</f>
        <v>42683</v>
      </c>
      <c r="C76" s="114" t="str">
        <f ca="1">IF(ROWS($1:63)&gt;COUNT(Dong1),"",IF(OFFSET(TH!N$1,SMALL(Dong1,ROWS($1:63)),)="1111",OFFSET(TH!D$1,SMALL(Dong1,ROWS($1:63)),),""))</f>
        <v/>
      </c>
      <c r="D76" s="115" t="str">
        <f ca="1">IF(ROWS($1:63)&gt;COUNT(Dong1),"",IF(OFFSET(TH!O$1,SMALL(Dong1,ROWS($1:63)),)="1111",OFFSET(TH!D$1,SMALL(Dong1,ROWS($1:63)),),""))</f>
        <v>C55</v>
      </c>
      <c r="E76" s="166" t="str">
        <f ca="1">IF(ROWS($1:63)&gt;COUNT(Dong1),"",OFFSET(TH!F$1,SMALL(Dong1,ROWS($1:63)),))</f>
        <v>Chi Nafi</v>
      </c>
      <c r="F76" s="117">
        <f ca="1">IF(ROWS($1:63)&gt;COUNT(Dong1),"",IF(OFFSET(TH!O$1,SMALL(Dong1,ROWS($1:63)),)="1111",OFFSET(TH!N$1,SMALL(Dong1,ROWS($1:63)),),OFFSET(TH!O$1,SMALL(Dong1,ROWS($1:63)),)))</f>
        <v>0</v>
      </c>
      <c r="G76" s="118">
        <f ca="1">IF(ROWS($1:63)&gt;COUNT(Dong1),"",IF(OFFSET(TH!N$1,SMALL(Dong1,ROWS($1:63)),)="1111",OFFSET(TH!M$1,SMALL(Dong1,ROWS($1:63)),),0))</f>
        <v>0</v>
      </c>
      <c r="H76" s="116">
        <f ca="1">IF(ROWS($1:63)&gt;COUNT(Dong1),"",IF(OFFSET(TH!O$1,SMALL(Dong1,ROWS($1:63)),)="1111",OFFSET(TH!M$1,SMALL(Dong1,ROWS($1:63)),),0))</f>
        <v>1000000</v>
      </c>
      <c r="I76" s="114">
        <f t="shared" ca="1" si="0"/>
        <v>2890000</v>
      </c>
      <c r="J76" s="119"/>
    </row>
    <row r="77" spans="1:10" ht="19.5" customHeight="1">
      <c r="A77" s="113">
        <f ca="1">IF(ROWS($1:64)&gt;COUNT(Dong1),"",OFFSET(TH!C$1,SMALL(Dong1,ROWS($1:64)),))</f>
        <v>42683</v>
      </c>
      <c r="B77" s="113">
        <f ca="1">IF(ROWS($1:64)&gt;COUNT(Dong1),"",OFFSET(TH!E$1,SMALL(Dong1,ROWS($1:64)),))</f>
        <v>42683</v>
      </c>
      <c r="C77" s="114" t="str">
        <f ca="1">IF(ROWS($1:64)&gt;COUNT(Dong1),"",IF(OFFSET(TH!N$1,SMALL(Dong1,ROWS($1:64)),)="1111",OFFSET(TH!D$1,SMALL(Dong1,ROWS($1:64)),),""))</f>
        <v>T07</v>
      </c>
      <c r="D77" s="115" t="str">
        <f ca="1">IF(ROWS($1:64)&gt;COUNT(Dong1),"",IF(OFFSET(TH!O$1,SMALL(Dong1,ROWS($1:64)),)="1111",OFFSET(TH!D$1,SMALL(Dong1,ROWS($1:64)),),""))</f>
        <v/>
      </c>
      <c r="E77" s="166" t="str">
        <f ca="1">IF(ROWS($1:64)&gt;COUNT(Dong1),"",OFFSET(TH!F$1,SMALL(Dong1,ROWS($1:64)),))</f>
        <v>Thu t/uứng PC: 140 ngày 27/10</v>
      </c>
      <c r="F77" s="117">
        <f ca="1">IF(ROWS($1:64)&gt;COUNT(Dong1),"",IF(OFFSET(TH!O$1,SMALL(Dong1,ROWS($1:64)),)="1111",OFFSET(TH!N$1,SMALL(Dong1,ROWS($1:64)),),OFFSET(TH!O$1,SMALL(Dong1,ROWS($1:64)),)))</f>
        <v>0</v>
      </c>
      <c r="G77" s="118">
        <f ca="1">IF(ROWS($1:64)&gt;COUNT(Dong1),"",IF(OFFSET(TH!N$1,SMALL(Dong1,ROWS($1:64)),)="1111",OFFSET(TH!M$1,SMALL(Dong1,ROWS($1:64)),),0))</f>
        <v>3000000</v>
      </c>
      <c r="H77" s="116">
        <f ca="1">IF(ROWS($1:64)&gt;COUNT(Dong1),"",IF(OFFSET(TH!O$1,SMALL(Dong1,ROWS($1:64)),)="1111",OFFSET(TH!M$1,SMALL(Dong1,ROWS($1:64)),),0))</f>
        <v>0</v>
      </c>
      <c r="I77" s="114">
        <f t="shared" ca="1" si="0"/>
        <v>5890000</v>
      </c>
      <c r="J77" s="119"/>
    </row>
    <row r="78" spans="1:10" ht="19.5" customHeight="1">
      <c r="A78" s="113">
        <f ca="1">IF(ROWS($1:65)&gt;COUNT(Dong1),"",OFFSET(TH!C$1,SMALL(Dong1,ROWS($1:65)),))</f>
        <v>42683</v>
      </c>
      <c r="B78" s="113">
        <f ca="1">IF(ROWS($1:65)&gt;COUNT(Dong1),"",OFFSET(TH!E$1,SMALL(Dong1,ROWS($1:65)),))</f>
        <v>42683</v>
      </c>
      <c r="C78" s="114" t="str">
        <f ca="1">IF(ROWS($1:65)&gt;COUNT(Dong1),"",IF(OFFSET(TH!N$1,SMALL(Dong1,ROWS($1:65)),)="1111",OFFSET(TH!D$1,SMALL(Dong1,ROWS($1:65)),),""))</f>
        <v/>
      </c>
      <c r="D78" s="115" t="str">
        <f ca="1">IF(ROWS($1:65)&gt;COUNT(Dong1),"",IF(OFFSET(TH!O$1,SMALL(Dong1,ROWS($1:65)),)="1111",OFFSET(TH!D$1,SMALL(Dong1,ROWS($1:65)),),""))</f>
        <v>C56</v>
      </c>
      <c r="E78" s="166" t="str">
        <f ca="1">IF(ROWS($1:65)&gt;COUNT(Dong1),"",OFFSET(TH!F$1,SMALL(Dong1,ROWS($1:65)),))</f>
        <v>Quấn motour</v>
      </c>
      <c r="F78" s="117">
        <f ca="1">IF(ROWS($1:65)&gt;COUNT(Dong1),"",IF(OFFSET(TH!O$1,SMALL(Dong1,ROWS($1:65)),)="1111",OFFSET(TH!N$1,SMALL(Dong1,ROWS($1:65)),),OFFSET(TH!O$1,SMALL(Dong1,ROWS($1:65)),)))</f>
        <v>0</v>
      </c>
      <c r="G78" s="118">
        <f ca="1">IF(ROWS($1:65)&gt;COUNT(Dong1),"",IF(OFFSET(TH!N$1,SMALL(Dong1,ROWS($1:65)),)="1111",OFFSET(TH!M$1,SMALL(Dong1,ROWS($1:65)),),0))</f>
        <v>0</v>
      </c>
      <c r="H78" s="116">
        <f ca="1">IF(ROWS($1:65)&gt;COUNT(Dong1),"",IF(OFFSET(TH!O$1,SMALL(Dong1,ROWS($1:65)),)="1111",OFFSET(TH!M$1,SMALL(Dong1,ROWS($1:65)),),0))</f>
        <v>5492000</v>
      </c>
      <c r="I78" s="114">
        <f t="shared" ca="1" si="0"/>
        <v>398000</v>
      </c>
      <c r="J78" s="119"/>
    </row>
    <row r="79" spans="1:10" ht="19.5" customHeight="1">
      <c r="A79" s="113">
        <f ca="1">IF(ROWS($1:66)&gt;COUNT(Dong1),"",OFFSET(TH!C$1,SMALL(Dong1,ROWS($1:66)),))</f>
        <v>42683</v>
      </c>
      <c r="B79" s="113">
        <f ca="1">IF(ROWS($1:66)&gt;COUNT(Dong1),"",OFFSET(TH!E$1,SMALL(Dong1,ROWS($1:66)),))</f>
        <v>42683</v>
      </c>
      <c r="C79" s="114" t="str">
        <f ca="1">IF(ROWS($1:66)&gt;COUNT(Dong1),"",IF(OFFSET(TH!N$1,SMALL(Dong1,ROWS($1:66)),)="1111",OFFSET(TH!D$1,SMALL(Dong1,ROWS($1:66)),),""))</f>
        <v>T08</v>
      </c>
      <c r="D79" s="115" t="str">
        <f ca="1">IF(ROWS($1:66)&gt;COUNT(Dong1),"",IF(OFFSET(TH!O$1,SMALL(Dong1,ROWS($1:66)),)="1111",OFFSET(TH!D$1,SMALL(Dong1,ROWS($1:66)),),""))</f>
        <v/>
      </c>
      <c r="E79" s="166" t="str">
        <f ca="1">IF(ROWS($1:66)&gt;COUNT(Dong1),"",OFFSET(TH!F$1,SMALL(Dong1,ROWS($1:66)),))</f>
        <v>Thu tiền phế liệu - A Hùng</v>
      </c>
      <c r="F79" s="117">
        <f ca="1">IF(ROWS($1:66)&gt;COUNT(Dong1),"",IF(OFFSET(TH!O$1,SMALL(Dong1,ROWS($1:66)),)="1111",OFFSET(TH!N$1,SMALL(Dong1,ROWS($1:66)),),OFFSET(TH!O$1,SMALL(Dong1,ROWS($1:66)),)))</f>
        <v>0</v>
      </c>
      <c r="G79" s="118">
        <f ca="1">IF(ROWS($1:66)&gt;COUNT(Dong1),"",IF(OFFSET(TH!N$1,SMALL(Dong1,ROWS($1:66)),)="1111",OFFSET(TH!M$1,SMALL(Dong1,ROWS($1:66)),),0))</f>
        <v>1385000</v>
      </c>
      <c r="H79" s="116">
        <f ca="1">IF(ROWS($1:66)&gt;COUNT(Dong1),"",IF(OFFSET(TH!O$1,SMALL(Dong1,ROWS($1:66)),)="1111",OFFSET(TH!M$1,SMALL(Dong1,ROWS($1:66)),),0))</f>
        <v>0</v>
      </c>
      <c r="I79" s="114">
        <f t="shared" ref="I79:I100" ca="1" si="1">IF(E79&lt;&gt;"",I78+G79-H79,0)</f>
        <v>1783000</v>
      </c>
      <c r="J79" s="119"/>
    </row>
    <row r="80" spans="1:10" ht="19.5" customHeight="1">
      <c r="A80" s="113">
        <f ca="1">IF(ROWS($1:67)&gt;COUNT(Dong1),"",OFFSET(TH!C$1,SMALL(Dong1,ROWS($1:67)),))</f>
        <v>42683</v>
      </c>
      <c r="B80" s="113">
        <f ca="1">IF(ROWS($1:67)&gt;COUNT(Dong1),"",OFFSET(TH!E$1,SMALL(Dong1,ROWS($1:67)),))</f>
        <v>42683</v>
      </c>
      <c r="C80" s="114" t="str">
        <f ca="1">IF(ROWS($1:67)&gt;COUNT(Dong1),"",IF(OFFSET(TH!N$1,SMALL(Dong1,ROWS($1:67)),)="1111",OFFSET(TH!D$1,SMALL(Dong1,ROWS($1:67)),),""))</f>
        <v/>
      </c>
      <c r="D80" s="115" t="str">
        <f ca="1">IF(ROWS($1:67)&gt;COUNT(Dong1),"",IF(OFFSET(TH!O$1,SMALL(Dong1,ROWS($1:67)),)="1111",OFFSET(TH!D$1,SMALL(Dong1,ROWS($1:67)),),""))</f>
        <v>C57</v>
      </c>
      <c r="E80" s="166" t="str">
        <f ca="1">IF(ROWS($1:67)&gt;COUNT(Dong1),"",OFFSET(TH!F$1,SMALL(Dong1,ROWS($1:67)),))</f>
        <v>Mua PP đựng phế liệu</v>
      </c>
      <c r="F80" s="117">
        <f ca="1">IF(ROWS($1:67)&gt;COUNT(Dong1),"",IF(OFFSET(TH!O$1,SMALL(Dong1,ROWS($1:67)),)="1111",OFFSET(TH!N$1,SMALL(Dong1,ROWS($1:67)),),OFFSET(TH!O$1,SMALL(Dong1,ROWS($1:67)),)))</f>
        <v>0</v>
      </c>
      <c r="G80" s="118">
        <f ca="1">IF(ROWS($1:67)&gt;COUNT(Dong1),"",IF(OFFSET(TH!N$1,SMALL(Dong1,ROWS($1:67)),)="1111",OFFSET(TH!M$1,SMALL(Dong1,ROWS($1:67)),),0))</f>
        <v>0</v>
      </c>
      <c r="H80" s="116">
        <f ca="1">IF(ROWS($1:67)&gt;COUNT(Dong1),"",IF(OFFSET(TH!O$1,SMALL(Dong1,ROWS($1:67)),)="1111",OFFSET(TH!M$1,SMALL(Dong1,ROWS($1:67)),),0))</f>
        <v>350000</v>
      </c>
      <c r="I80" s="114">
        <f t="shared" ca="1" si="1"/>
        <v>1433000</v>
      </c>
      <c r="J80" s="119"/>
    </row>
    <row r="81" spans="1:10" ht="19.5" customHeight="1">
      <c r="A81" s="113">
        <f ca="1">IF(ROWS($1:68)&gt;COUNT(Dong1),"",OFFSET(TH!C$1,SMALL(Dong1,ROWS($1:68)),))</f>
        <v>42684</v>
      </c>
      <c r="B81" s="113">
        <f ca="1">IF(ROWS($1:68)&gt;COUNT(Dong1),"",OFFSET(TH!E$1,SMALL(Dong1,ROWS($1:68)),))</f>
        <v>42684</v>
      </c>
      <c r="C81" s="114" t="str">
        <f ca="1">IF(ROWS($1:68)&gt;COUNT(Dong1),"",IF(OFFSET(TH!N$1,SMALL(Dong1,ROWS($1:68)),)="1111",OFFSET(TH!D$1,SMALL(Dong1,ROWS($1:68)),),""))</f>
        <v>T09</v>
      </c>
      <c r="D81" s="115" t="str">
        <f ca="1">IF(ROWS($1:68)&gt;COUNT(Dong1),"",IF(OFFSET(TH!O$1,SMALL(Dong1,ROWS($1:68)),)="1111",OFFSET(TH!D$1,SMALL(Dong1,ROWS($1:68)),),""))</f>
        <v/>
      </c>
      <c r="E81" s="166" t="str">
        <f ca="1">IF(ROWS($1:68)&gt;COUNT(Dong1),"",OFFSET(TH!F$1,SMALL(Dong1,ROWS($1:68)),))</f>
        <v>Thu NH Pvcombank</v>
      </c>
      <c r="F81" s="117">
        <f ca="1">IF(ROWS($1:68)&gt;COUNT(Dong1),"",IF(OFFSET(TH!O$1,SMALL(Dong1,ROWS($1:68)),)="1111",OFFSET(TH!N$1,SMALL(Dong1,ROWS($1:68)),),OFFSET(TH!O$1,SMALL(Dong1,ROWS($1:68)),)))</f>
        <v>0</v>
      </c>
      <c r="G81" s="118">
        <f ca="1">IF(ROWS($1:68)&gt;COUNT(Dong1),"",IF(OFFSET(TH!N$1,SMALL(Dong1,ROWS($1:68)),)="1111",OFFSET(TH!M$1,SMALL(Dong1,ROWS($1:68)),),0))</f>
        <v>1400000000</v>
      </c>
      <c r="H81" s="116">
        <f ca="1">IF(ROWS($1:68)&gt;COUNT(Dong1),"",IF(OFFSET(TH!O$1,SMALL(Dong1,ROWS($1:68)),)="1111",OFFSET(TH!M$1,SMALL(Dong1,ROWS($1:68)),),0))</f>
        <v>0</v>
      </c>
      <c r="I81" s="114">
        <f t="shared" ca="1" si="1"/>
        <v>1401433000</v>
      </c>
      <c r="J81" s="119"/>
    </row>
    <row r="82" spans="1:10" ht="19.5" customHeight="1">
      <c r="A82" s="113">
        <f ca="1">IF(ROWS($1:69)&gt;COUNT(Dong1),"",OFFSET(TH!C$1,SMALL(Dong1,ROWS($1:69)),))</f>
        <v>42684</v>
      </c>
      <c r="B82" s="113">
        <f ca="1">IF(ROWS($1:69)&gt;COUNT(Dong1),"",OFFSET(TH!E$1,SMALL(Dong1,ROWS($1:69)),))</f>
        <v>42684</v>
      </c>
      <c r="C82" s="114" t="str">
        <f ca="1">IF(ROWS($1:69)&gt;COUNT(Dong1),"",IF(OFFSET(TH!N$1,SMALL(Dong1,ROWS($1:69)),)="1111",OFFSET(TH!D$1,SMALL(Dong1,ROWS($1:69)),),""))</f>
        <v/>
      </c>
      <c r="D82" s="115" t="str">
        <f ca="1">IF(ROWS($1:69)&gt;COUNT(Dong1),"",IF(OFFSET(TH!O$1,SMALL(Dong1,ROWS($1:69)),)="1111",OFFSET(TH!D$1,SMALL(Dong1,ROWS($1:69)),),""))</f>
        <v>C58</v>
      </c>
      <c r="E82" s="166" t="str">
        <f ca="1">IF(ROWS($1:69)&gt;COUNT(Dong1),"",OFFSET(TH!F$1,SMALL(Dong1,ROWS($1:69)),))</f>
        <v xml:space="preserve">Trả tiền cá </v>
      </c>
      <c r="F82" s="117" t="str">
        <f ca="1">IF(ROWS($1:69)&gt;COUNT(Dong1),"",IF(OFFSET(TH!O$1,SMALL(Dong1,ROWS($1:69)),)="1111",OFFSET(TH!N$1,SMALL(Dong1,ROWS($1:69)),),OFFSET(TH!O$1,SMALL(Dong1,ROWS($1:69)),)))</f>
        <v>331</v>
      </c>
      <c r="G82" s="118">
        <f ca="1">IF(ROWS($1:69)&gt;COUNT(Dong1),"",IF(OFFSET(TH!N$1,SMALL(Dong1,ROWS($1:69)),)="1111",OFFSET(TH!M$1,SMALL(Dong1,ROWS($1:69)),),0))</f>
        <v>0</v>
      </c>
      <c r="H82" s="116">
        <f ca="1">IF(ROWS($1:69)&gt;COUNT(Dong1),"",IF(OFFSET(TH!O$1,SMALL(Dong1,ROWS($1:69)),)="1111",OFFSET(TH!M$1,SMALL(Dong1,ROWS($1:69)),),0))</f>
        <v>175135000</v>
      </c>
      <c r="I82" s="114">
        <f t="shared" ca="1" si="1"/>
        <v>1226298000</v>
      </c>
      <c r="J82" s="119"/>
    </row>
    <row r="83" spans="1:10" ht="19.5" customHeight="1">
      <c r="A83" s="113">
        <f ca="1">IF(ROWS($1:70)&gt;COUNT(Dong1),"",OFFSET(TH!C$1,SMALL(Dong1,ROWS($1:70)),))</f>
        <v>42684</v>
      </c>
      <c r="B83" s="113">
        <f ca="1">IF(ROWS($1:70)&gt;COUNT(Dong1),"",OFFSET(TH!E$1,SMALL(Dong1,ROWS($1:70)),))</f>
        <v>42684</v>
      </c>
      <c r="C83" s="114" t="str">
        <f ca="1">IF(ROWS($1:70)&gt;COUNT(Dong1),"",IF(OFFSET(TH!N$1,SMALL(Dong1,ROWS($1:70)),)="1111",OFFSET(TH!D$1,SMALL(Dong1,ROWS($1:70)),),""))</f>
        <v/>
      </c>
      <c r="D83" s="115" t="str">
        <f ca="1">IF(ROWS($1:70)&gt;COUNT(Dong1),"",IF(OFFSET(TH!O$1,SMALL(Dong1,ROWS($1:70)),)="1111",OFFSET(TH!D$1,SMALL(Dong1,ROWS($1:70)),),""))</f>
        <v>C59</v>
      </c>
      <c r="E83" s="166" t="str">
        <f ca="1">IF(ROWS($1:70)&gt;COUNT(Dong1),"",OFFSET(TH!F$1,SMALL(Dong1,ROWS($1:70)),))</f>
        <v xml:space="preserve">Mua bánh xe nâng </v>
      </c>
      <c r="F83" s="117">
        <f ca="1">IF(ROWS($1:70)&gt;COUNT(Dong1),"",IF(OFFSET(TH!O$1,SMALL(Dong1,ROWS($1:70)),)="1111",OFFSET(TH!N$1,SMALL(Dong1,ROWS($1:70)),),OFFSET(TH!O$1,SMALL(Dong1,ROWS($1:70)),)))</f>
        <v>0</v>
      </c>
      <c r="G83" s="118">
        <f ca="1">IF(ROWS($1:70)&gt;COUNT(Dong1),"",IF(OFFSET(TH!N$1,SMALL(Dong1,ROWS($1:70)),)="1111",OFFSET(TH!M$1,SMALL(Dong1,ROWS($1:70)),),0))</f>
        <v>0</v>
      </c>
      <c r="H83" s="116">
        <f ca="1">IF(ROWS($1:70)&gt;COUNT(Dong1),"",IF(OFFSET(TH!O$1,SMALL(Dong1,ROWS($1:70)),)="1111",OFFSET(TH!M$1,SMALL(Dong1,ROWS($1:70)),),0))</f>
        <v>490000</v>
      </c>
      <c r="I83" s="114">
        <f t="shared" ca="1" si="1"/>
        <v>1225808000</v>
      </c>
      <c r="J83" s="119"/>
    </row>
    <row r="84" spans="1:10" ht="19.5" customHeight="1">
      <c r="A84" s="113">
        <f ca="1">IF(ROWS($1:71)&gt;COUNT(Dong1),"",OFFSET(TH!C$1,SMALL(Dong1,ROWS($1:71)),))</f>
        <v>42684</v>
      </c>
      <c r="B84" s="113">
        <f ca="1">IF(ROWS($1:71)&gt;COUNT(Dong1),"",OFFSET(TH!E$1,SMALL(Dong1,ROWS($1:71)),))</f>
        <v>42684</v>
      </c>
      <c r="C84" s="114" t="str">
        <f ca="1">IF(ROWS($1:71)&gt;COUNT(Dong1),"",IF(OFFSET(TH!N$1,SMALL(Dong1,ROWS($1:71)),)="1111",OFFSET(TH!D$1,SMALL(Dong1,ROWS($1:71)),),""))</f>
        <v/>
      </c>
      <c r="D84" s="115" t="str">
        <f ca="1">IF(ROWS($1:71)&gt;COUNT(Dong1),"",IF(OFFSET(TH!O$1,SMALL(Dong1,ROWS($1:71)),)="1111",OFFSET(TH!D$1,SMALL(Dong1,ROWS($1:71)),),""))</f>
        <v>C60</v>
      </c>
      <c r="E84" s="166" t="str">
        <f ca="1">IF(ROWS($1:71)&gt;COUNT(Dong1),"",OFFSET(TH!F$1,SMALL(Dong1,ROWS($1:71)),))</f>
        <v>Tiền chợ nhà</v>
      </c>
      <c r="F84" s="117">
        <f ca="1">IF(ROWS($1:71)&gt;COUNT(Dong1),"",IF(OFFSET(TH!O$1,SMALL(Dong1,ROWS($1:71)),)="1111",OFFSET(TH!N$1,SMALL(Dong1,ROWS($1:71)),),OFFSET(TH!O$1,SMALL(Dong1,ROWS($1:71)),)))</f>
        <v>0</v>
      </c>
      <c r="G84" s="118">
        <f ca="1">IF(ROWS($1:71)&gt;COUNT(Dong1),"",IF(OFFSET(TH!N$1,SMALL(Dong1,ROWS($1:71)),)="1111",OFFSET(TH!M$1,SMALL(Dong1,ROWS($1:71)),),0))</f>
        <v>0</v>
      </c>
      <c r="H84" s="116">
        <f ca="1">IF(ROWS($1:71)&gt;COUNT(Dong1),"",IF(OFFSET(TH!O$1,SMALL(Dong1,ROWS($1:71)),)="1111",OFFSET(TH!M$1,SMALL(Dong1,ROWS($1:71)),),0))</f>
        <v>500000</v>
      </c>
      <c r="I84" s="114">
        <f t="shared" ca="1" si="1"/>
        <v>1225308000</v>
      </c>
      <c r="J84" s="119"/>
    </row>
    <row r="85" spans="1:10" ht="19.5" customHeight="1">
      <c r="A85" s="113">
        <f ca="1">IF(ROWS($1:72)&gt;COUNT(Dong1),"",OFFSET(TH!C$1,SMALL(Dong1,ROWS($1:72)),))</f>
        <v>42685</v>
      </c>
      <c r="B85" s="113">
        <f ca="1">IF(ROWS($1:72)&gt;COUNT(Dong1),"",OFFSET(TH!E$1,SMALL(Dong1,ROWS($1:72)),))</f>
        <v>42685</v>
      </c>
      <c r="C85" s="114" t="str">
        <f ca="1">IF(ROWS($1:72)&gt;COUNT(Dong1),"",IF(OFFSET(TH!N$1,SMALL(Dong1,ROWS($1:72)),)="1111",OFFSET(TH!D$1,SMALL(Dong1,ROWS($1:72)),),""))</f>
        <v>T10</v>
      </c>
      <c r="D85" s="115" t="str">
        <f ca="1">IF(ROWS($1:72)&gt;COUNT(Dong1),"",IF(OFFSET(TH!O$1,SMALL(Dong1,ROWS($1:72)),)="1111",OFFSET(TH!D$1,SMALL(Dong1,ROWS($1:72)),),""))</f>
        <v/>
      </c>
      <c r="E85" s="166" t="str">
        <f ca="1">IF(ROWS($1:72)&gt;COUNT(Dong1),"",OFFSET(TH!F$1,SMALL(Dong1,ROWS($1:72)),))</f>
        <v>Thu tiền NH Pvcombank</v>
      </c>
      <c r="F85" s="117">
        <f ca="1">IF(ROWS($1:72)&gt;COUNT(Dong1),"",IF(OFFSET(TH!O$1,SMALL(Dong1,ROWS($1:72)),)="1111",OFFSET(TH!N$1,SMALL(Dong1,ROWS($1:72)),),OFFSET(TH!O$1,SMALL(Dong1,ROWS($1:72)),)))</f>
        <v>0</v>
      </c>
      <c r="G85" s="118">
        <f ca="1">IF(ROWS($1:72)&gt;COUNT(Dong1),"",IF(OFFSET(TH!N$1,SMALL(Dong1,ROWS($1:72)),)="1111",OFFSET(TH!M$1,SMALL(Dong1,ROWS($1:72)),),0))</f>
        <v>1850000000</v>
      </c>
      <c r="H85" s="116">
        <f ca="1">IF(ROWS($1:72)&gt;COUNT(Dong1),"",IF(OFFSET(TH!O$1,SMALL(Dong1,ROWS($1:72)),)="1111",OFFSET(TH!M$1,SMALL(Dong1,ROWS($1:72)),),0))</f>
        <v>0</v>
      </c>
      <c r="I85" s="114">
        <f t="shared" ca="1" si="1"/>
        <v>3075308000</v>
      </c>
      <c r="J85" s="119"/>
    </row>
    <row r="86" spans="1:10" ht="19.5" customHeight="1">
      <c r="A86" s="113">
        <f ca="1">IF(ROWS($1:73)&gt;COUNT(Dong1),"",OFFSET(TH!C$1,SMALL(Dong1,ROWS($1:73)),))</f>
        <v>42685</v>
      </c>
      <c r="B86" s="113">
        <f ca="1">IF(ROWS($1:73)&gt;COUNT(Dong1),"",OFFSET(TH!E$1,SMALL(Dong1,ROWS($1:73)),))</f>
        <v>42685</v>
      </c>
      <c r="C86" s="114" t="str">
        <f ca="1">IF(ROWS($1:73)&gt;COUNT(Dong1),"",IF(OFFSET(TH!N$1,SMALL(Dong1,ROWS($1:73)),)="1111",OFFSET(TH!D$1,SMALL(Dong1,ROWS($1:73)),),""))</f>
        <v/>
      </c>
      <c r="D86" s="115" t="str">
        <f ca="1">IF(ROWS($1:73)&gt;COUNT(Dong1),"",IF(OFFSET(TH!O$1,SMALL(Dong1,ROWS($1:73)),)="1111",OFFSET(TH!D$1,SMALL(Dong1,ROWS($1:73)),),""))</f>
        <v>C61</v>
      </c>
      <c r="E86" s="166" t="str">
        <f ca="1">IF(ROWS($1:73)&gt;COUNT(Dong1),"",OFFSET(TH!F$1,SMALL(Dong1,ROWS($1:73)),))</f>
        <v>Trả tiền cá</v>
      </c>
      <c r="F86" s="117" t="str">
        <f ca="1">IF(ROWS($1:73)&gt;COUNT(Dong1),"",IF(OFFSET(TH!O$1,SMALL(Dong1,ROWS($1:73)),)="1111",OFFSET(TH!N$1,SMALL(Dong1,ROWS($1:73)),),OFFSET(TH!O$1,SMALL(Dong1,ROWS($1:73)),)))</f>
        <v>331</v>
      </c>
      <c r="G86" s="118">
        <f ca="1">IF(ROWS($1:73)&gt;COUNT(Dong1),"",IF(OFFSET(TH!N$1,SMALL(Dong1,ROWS($1:73)),)="1111",OFFSET(TH!M$1,SMALL(Dong1,ROWS($1:73)),),0))</f>
        <v>0</v>
      </c>
      <c r="H86" s="116">
        <f ca="1">IF(ROWS($1:73)&gt;COUNT(Dong1),"",IF(OFFSET(TH!O$1,SMALL(Dong1,ROWS($1:73)),)="1111",OFFSET(TH!M$1,SMALL(Dong1,ROWS($1:73)),),0))</f>
        <v>150000000</v>
      </c>
      <c r="I86" s="114">
        <f t="shared" ca="1" si="1"/>
        <v>2925308000</v>
      </c>
      <c r="J86" s="119"/>
    </row>
    <row r="87" spans="1:10" ht="19.5" customHeight="1">
      <c r="A87" s="113">
        <f ca="1">IF(ROWS($1:74)&gt;COUNT(Dong1),"",OFFSET(TH!C$1,SMALL(Dong1,ROWS($1:74)),))</f>
        <v>42685</v>
      </c>
      <c r="B87" s="113">
        <f ca="1">IF(ROWS($1:74)&gt;COUNT(Dong1),"",OFFSET(TH!E$1,SMALL(Dong1,ROWS($1:74)),))</f>
        <v>42685</v>
      </c>
      <c r="C87" s="114" t="str">
        <f ca="1">IF(ROWS($1:74)&gt;COUNT(Dong1),"",IF(OFFSET(TH!N$1,SMALL(Dong1,ROWS($1:74)),)="1111",OFFSET(TH!D$1,SMALL(Dong1,ROWS($1:74)),),""))</f>
        <v/>
      </c>
      <c r="D87" s="115" t="str">
        <f ca="1">IF(ROWS($1:74)&gt;COUNT(Dong1),"",IF(OFFSET(TH!O$1,SMALL(Dong1,ROWS($1:74)),)="1111",OFFSET(TH!D$1,SMALL(Dong1,ROWS($1:74)),),""))</f>
        <v>C62</v>
      </c>
      <c r="E87" s="166" t="str">
        <f ca="1">IF(ROWS($1:74)&gt;COUNT(Dong1),"",OFFSET(TH!F$1,SMALL(Dong1,ROWS($1:74)),))</f>
        <v>Trả tiền - Trung Quốc</v>
      </c>
      <c r="F87" s="117">
        <f ca="1">IF(ROWS($1:74)&gt;COUNT(Dong1),"",IF(OFFSET(TH!O$1,SMALL(Dong1,ROWS($1:74)),)="1111",OFFSET(TH!N$1,SMALL(Dong1,ROWS($1:74)),),OFFSET(TH!O$1,SMALL(Dong1,ROWS($1:74)),)))</f>
        <v>0</v>
      </c>
      <c r="G87" s="118">
        <f ca="1">IF(ROWS($1:74)&gt;COUNT(Dong1),"",IF(OFFSET(TH!N$1,SMALL(Dong1,ROWS($1:74)),)="1111",OFFSET(TH!M$1,SMALL(Dong1,ROWS($1:74)),),0))</f>
        <v>0</v>
      </c>
      <c r="H87" s="116">
        <f ca="1">IF(ROWS($1:74)&gt;COUNT(Dong1),"",IF(OFFSET(TH!O$1,SMALL(Dong1,ROWS($1:74)),)="1111",OFFSET(TH!M$1,SMALL(Dong1,ROWS($1:74)),),0))</f>
        <v>2622649000</v>
      </c>
      <c r="I87" s="114">
        <f t="shared" ca="1" si="1"/>
        <v>302659000</v>
      </c>
      <c r="J87" s="119"/>
    </row>
    <row r="88" spans="1:10" ht="19.5" customHeight="1">
      <c r="A88" s="113">
        <f ca="1">IF(ROWS($1:75)&gt;COUNT(Dong1),"",OFFSET(TH!C$1,SMALL(Dong1,ROWS($1:75)),))</f>
        <v>42685</v>
      </c>
      <c r="B88" s="113">
        <f ca="1">IF(ROWS($1:75)&gt;COUNT(Dong1),"",OFFSET(TH!E$1,SMALL(Dong1,ROWS($1:75)),))</f>
        <v>42685</v>
      </c>
      <c r="C88" s="114" t="str">
        <f ca="1">IF(ROWS($1:75)&gt;COUNT(Dong1),"",IF(OFFSET(TH!N$1,SMALL(Dong1,ROWS($1:75)),)="1111",OFFSET(TH!D$1,SMALL(Dong1,ROWS($1:75)),),""))</f>
        <v/>
      </c>
      <c r="D88" s="115" t="str">
        <f ca="1">IF(ROWS($1:75)&gt;COUNT(Dong1),"",IF(OFFSET(TH!O$1,SMALL(Dong1,ROWS($1:75)),)="1111",OFFSET(TH!D$1,SMALL(Dong1,ROWS($1:75)),),""))</f>
        <v>C63</v>
      </c>
      <c r="E88" s="166" t="str">
        <f ca="1">IF(ROWS($1:75)&gt;COUNT(Dong1),"",OFFSET(TH!F$1,SMALL(Dong1,ROWS($1:75)),))</f>
        <v>Tiền đám tang mẹ Sơn Thên</v>
      </c>
      <c r="F88" s="117">
        <f ca="1">IF(ROWS($1:75)&gt;COUNT(Dong1),"",IF(OFFSET(TH!O$1,SMALL(Dong1,ROWS($1:75)),)="1111",OFFSET(TH!N$1,SMALL(Dong1,ROWS($1:75)),),OFFSET(TH!O$1,SMALL(Dong1,ROWS($1:75)),)))</f>
        <v>0</v>
      </c>
      <c r="G88" s="118">
        <f ca="1">IF(ROWS($1:75)&gt;COUNT(Dong1),"",IF(OFFSET(TH!N$1,SMALL(Dong1,ROWS($1:75)),)="1111",OFFSET(TH!M$1,SMALL(Dong1,ROWS($1:75)),),0))</f>
        <v>0</v>
      </c>
      <c r="H88" s="116">
        <f ca="1">IF(ROWS($1:75)&gt;COUNT(Dong1),"",IF(OFFSET(TH!O$1,SMALL(Dong1,ROWS($1:75)),)="1111",OFFSET(TH!M$1,SMALL(Dong1,ROWS($1:75)),),0))</f>
        <v>500000</v>
      </c>
      <c r="I88" s="114">
        <f t="shared" ca="1" si="1"/>
        <v>302159000</v>
      </c>
      <c r="J88" s="119"/>
    </row>
    <row r="89" spans="1:10" ht="19.5" customHeight="1">
      <c r="A89" s="113">
        <f ca="1">IF(ROWS($1:76)&gt;COUNT(Dong1),"",OFFSET(TH!C$1,SMALL(Dong1,ROWS($1:76)),))</f>
        <v>42685</v>
      </c>
      <c r="B89" s="113">
        <f ca="1">IF(ROWS($1:76)&gt;COUNT(Dong1),"",OFFSET(TH!E$1,SMALL(Dong1,ROWS($1:76)),))</f>
        <v>42685</v>
      </c>
      <c r="C89" s="114" t="str">
        <f ca="1">IF(ROWS($1:76)&gt;COUNT(Dong1),"",IF(OFFSET(TH!N$1,SMALL(Dong1,ROWS($1:76)),)="1111",OFFSET(TH!D$1,SMALL(Dong1,ROWS($1:76)),),""))</f>
        <v>T11</v>
      </c>
      <c r="D89" s="115" t="str">
        <f ca="1">IF(ROWS($1:76)&gt;COUNT(Dong1),"",IF(OFFSET(TH!O$1,SMALL(Dong1,ROWS($1:76)),)="1111",OFFSET(TH!D$1,SMALL(Dong1,ROWS($1:76)),),""))</f>
        <v/>
      </c>
      <c r="E89" s="166" t="str">
        <f ca="1">IF(ROWS($1:76)&gt;COUNT(Dong1),"",OFFSET(TH!F$1,SMALL(Dong1,ROWS($1:76)),))</f>
        <v>Thu t/ứng PC:50 ngày 8/11</v>
      </c>
      <c r="F89" s="117">
        <f ca="1">IF(ROWS($1:76)&gt;COUNT(Dong1),"",IF(OFFSET(TH!O$1,SMALL(Dong1,ROWS($1:76)),)="1111",OFFSET(TH!N$1,SMALL(Dong1,ROWS($1:76)),),OFFSET(TH!O$1,SMALL(Dong1,ROWS($1:76)),)))</f>
        <v>0</v>
      </c>
      <c r="G89" s="118">
        <f ca="1">IF(ROWS($1:76)&gt;COUNT(Dong1),"",IF(OFFSET(TH!N$1,SMALL(Dong1,ROWS($1:76)),)="1111",OFFSET(TH!M$1,SMALL(Dong1,ROWS($1:76)),),0))</f>
        <v>5000000</v>
      </c>
      <c r="H89" s="116">
        <f ca="1">IF(ROWS($1:76)&gt;COUNT(Dong1),"",IF(OFFSET(TH!O$1,SMALL(Dong1,ROWS($1:76)),)="1111",OFFSET(TH!M$1,SMALL(Dong1,ROWS($1:76)),),0))</f>
        <v>0</v>
      </c>
      <c r="I89" s="114">
        <f t="shared" ca="1" si="1"/>
        <v>307159000</v>
      </c>
      <c r="J89" s="119"/>
    </row>
    <row r="90" spans="1:10" ht="19.5" customHeight="1">
      <c r="A90" s="113">
        <f ca="1">IF(ROWS($1:77)&gt;COUNT(Dong1),"",OFFSET(TH!C$1,SMALL(Dong1,ROWS($1:77)),))</f>
        <v>42685</v>
      </c>
      <c r="B90" s="113">
        <f ca="1">IF(ROWS($1:77)&gt;COUNT(Dong1),"",OFFSET(TH!E$1,SMALL(Dong1,ROWS($1:77)),))</f>
        <v>42685</v>
      </c>
      <c r="C90" s="114" t="str">
        <f ca="1">IF(ROWS($1:77)&gt;COUNT(Dong1),"",IF(OFFSET(TH!N$1,SMALL(Dong1,ROWS($1:77)),)="1111",OFFSET(TH!D$1,SMALL(Dong1,ROWS($1:77)),),""))</f>
        <v/>
      </c>
      <c r="D90" s="115" t="str">
        <f ca="1">IF(ROWS($1:77)&gt;COUNT(Dong1),"",IF(OFFSET(TH!O$1,SMALL(Dong1,ROWS($1:77)),)="1111",OFFSET(TH!D$1,SMALL(Dong1,ROWS($1:77)),),""))</f>
        <v>C64</v>
      </c>
      <c r="E90" s="166" t="str">
        <f ca="1">IF(ROWS($1:77)&gt;COUNT(Dong1),"",OFFSET(TH!F$1,SMALL(Dong1,ROWS($1:77)),))</f>
        <v>Mua đt cô</v>
      </c>
      <c r="F90" s="117">
        <f ca="1">IF(ROWS($1:77)&gt;COUNT(Dong1),"",IF(OFFSET(TH!O$1,SMALL(Dong1,ROWS($1:77)),)="1111",OFFSET(TH!N$1,SMALL(Dong1,ROWS($1:77)),),OFFSET(TH!O$1,SMALL(Dong1,ROWS($1:77)),)))</f>
        <v>0</v>
      </c>
      <c r="G90" s="118">
        <f ca="1">IF(ROWS($1:77)&gt;COUNT(Dong1),"",IF(OFFSET(TH!N$1,SMALL(Dong1,ROWS($1:77)),)="1111",OFFSET(TH!M$1,SMALL(Dong1,ROWS($1:77)),),0))</f>
        <v>0</v>
      </c>
      <c r="H90" s="116">
        <f ca="1">IF(ROWS($1:77)&gt;COUNT(Dong1),"",IF(OFFSET(TH!O$1,SMALL(Dong1,ROWS($1:77)),)="1111",OFFSET(TH!M$1,SMALL(Dong1,ROWS($1:77)),),0))</f>
        <v>4825000</v>
      </c>
      <c r="I90" s="114">
        <f t="shared" ca="1" si="1"/>
        <v>302334000</v>
      </c>
      <c r="J90" s="119"/>
    </row>
    <row r="91" spans="1:10" ht="19.5" customHeight="1">
      <c r="A91" s="113">
        <f ca="1">IF(ROWS($1:78)&gt;COUNT(Dong1),"",OFFSET(TH!C$1,SMALL(Dong1,ROWS($1:78)),))</f>
        <v>42685</v>
      </c>
      <c r="B91" s="113">
        <f ca="1">IF(ROWS($1:78)&gt;COUNT(Dong1),"",OFFSET(TH!E$1,SMALL(Dong1,ROWS($1:78)),))</f>
        <v>42685</v>
      </c>
      <c r="C91" s="114" t="str">
        <f ca="1">IF(ROWS($1:78)&gt;COUNT(Dong1),"",IF(OFFSET(TH!N$1,SMALL(Dong1,ROWS($1:78)),)="1111",OFFSET(TH!D$1,SMALL(Dong1,ROWS($1:78)),),""))</f>
        <v/>
      </c>
      <c r="D91" s="115" t="str">
        <f ca="1">IF(ROWS($1:78)&gt;COUNT(Dong1),"",IF(OFFSET(TH!O$1,SMALL(Dong1,ROWS($1:78)),)="1111",OFFSET(TH!D$1,SMALL(Dong1,ROWS($1:78)),),""))</f>
        <v>C65</v>
      </c>
      <c r="E91" s="166" t="str">
        <f ca="1">IF(ROWS($1:78)&gt;COUNT(Dong1),"",OFFSET(TH!F$1,SMALL(Dong1,ROWS($1:78)),))</f>
        <v>Mua băng keo Khang Thịnh Phước</v>
      </c>
      <c r="F91" s="117">
        <f ca="1">IF(ROWS($1:78)&gt;COUNT(Dong1),"",IF(OFFSET(TH!O$1,SMALL(Dong1,ROWS($1:78)),)="1111",OFFSET(TH!N$1,SMALL(Dong1,ROWS($1:78)),),OFFSET(TH!O$1,SMALL(Dong1,ROWS($1:78)),)))</f>
        <v>0</v>
      </c>
      <c r="G91" s="118">
        <f ca="1">IF(ROWS($1:78)&gt;COUNT(Dong1),"",IF(OFFSET(TH!N$1,SMALL(Dong1,ROWS($1:78)),)="1111",OFFSET(TH!M$1,SMALL(Dong1,ROWS($1:78)),),0))</f>
        <v>0</v>
      </c>
      <c r="H91" s="116">
        <f ca="1">IF(ROWS($1:78)&gt;COUNT(Dong1),"",IF(OFFSET(TH!O$1,SMALL(Dong1,ROWS($1:78)),)="1111",OFFSET(TH!M$1,SMALL(Dong1,ROWS($1:78)),),0))</f>
        <v>5280000</v>
      </c>
      <c r="I91" s="114">
        <f t="shared" ca="1" si="1"/>
        <v>297054000</v>
      </c>
      <c r="J91" s="119"/>
    </row>
    <row r="92" spans="1:10" ht="19.5" customHeight="1">
      <c r="A92" s="113">
        <f ca="1">IF(ROWS($1:79)&gt;COUNT(Dong1),"",OFFSET(TH!C$1,SMALL(Dong1,ROWS($1:79)),))</f>
        <v>42685</v>
      </c>
      <c r="B92" s="113">
        <f ca="1">IF(ROWS($1:79)&gt;COUNT(Dong1),"",OFFSET(TH!E$1,SMALL(Dong1,ROWS($1:79)),))</f>
        <v>42685</v>
      </c>
      <c r="C92" s="114" t="str">
        <f ca="1">IF(ROWS($1:79)&gt;COUNT(Dong1),"",IF(OFFSET(TH!N$1,SMALL(Dong1,ROWS($1:79)),)="1111",OFFSET(TH!D$1,SMALL(Dong1,ROWS($1:79)),),""))</f>
        <v/>
      </c>
      <c r="D92" s="115" t="str">
        <f ca="1">IF(ROWS($1:79)&gt;COUNT(Dong1),"",IF(OFFSET(TH!O$1,SMALL(Dong1,ROWS($1:79)),)="1111",OFFSET(TH!D$1,SMALL(Dong1,ROWS($1:79)),),""))</f>
        <v>C66</v>
      </c>
      <c r="E92" s="166" t="str">
        <f ca="1">IF(ROWS($1:79)&gt;COUNT(Dong1),"",OFFSET(TH!F$1,SMALL(Dong1,ROWS($1:79)),))</f>
        <v>T/ứng mua Blook máy</v>
      </c>
      <c r="F92" s="117">
        <f ca="1">IF(ROWS($1:79)&gt;COUNT(Dong1),"",IF(OFFSET(TH!O$1,SMALL(Dong1,ROWS($1:79)),)="1111",OFFSET(TH!N$1,SMALL(Dong1,ROWS($1:79)),),OFFSET(TH!O$1,SMALL(Dong1,ROWS($1:79)),)))</f>
        <v>0</v>
      </c>
      <c r="G92" s="118">
        <f ca="1">IF(ROWS($1:79)&gt;COUNT(Dong1),"",IF(OFFSET(TH!N$1,SMALL(Dong1,ROWS($1:79)),)="1111",OFFSET(TH!M$1,SMALL(Dong1,ROWS($1:79)),),0))</f>
        <v>0</v>
      </c>
      <c r="H92" s="116">
        <f ca="1">IF(ROWS($1:79)&gt;COUNT(Dong1),"",IF(OFFSET(TH!O$1,SMALL(Dong1,ROWS($1:79)),)="1111",OFFSET(TH!M$1,SMALL(Dong1,ROWS($1:79)),),0))</f>
        <v>50000000</v>
      </c>
      <c r="I92" s="114">
        <f t="shared" ca="1" si="1"/>
        <v>247054000</v>
      </c>
      <c r="J92" s="119"/>
    </row>
    <row r="93" spans="1:10" ht="19.5" customHeight="1">
      <c r="A93" s="113">
        <f ca="1">IF(ROWS($1:80)&gt;COUNT(Dong1),"",OFFSET(TH!C$1,SMALL(Dong1,ROWS($1:80)),))</f>
        <v>42686</v>
      </c>
      <c r="B93" s="113">
        <f ca="1">IF(ROWS($1:80)&gt;COUNT(Dong1),"",OFFSET(TH!E$1,SMALL(Dong1,ROWS($1:80)),))</f>
        <v>42686</v>
      </c>
      <c r="C93" s="114" t="str">
        <f ca="1">IF(ROWS($1:80)&gt;COUNT(Dong1),"",IF(OFFSET(TH!N$1,SMALL(Dong1,ROWS($1:80)),)="1111",OFFSET(TH!D$1,SMALL(Dong1,ROWS($1:80)),),""))</f>
        <v>T12</v>
      </c>
      <c r="D93" s="115" t="str">
        <f ca="1">IF(ROWS($1:80)&gt;COUNT(Dong1),"",IF(OFFSET(TH!O$1,SMALL(Dong1,ROWS($1:80)),)="1111",OFFSET(TH!D$1,SMALL(Dong1,ROWS($1:80)),),""))</f>
        <v/>
      </c>
      <c r="E93" s="166" t="str">
        <f ca="1">IF(ROWS($1:80)&gt;COUNT(Dong1),"",OFFSET(TH!F$1,SMALL(Dong1,ROWS($1:80)),))</f>
        <v>Thu tiền Pvcombank</v>
      </c>
      <c r="F93" s="117">
        <f ca="1">IF(ROWS($1:80)&gt;COUNT(Dong1),"",IF(OFFSET(TH!O$1,SMALL(Dong1,ROWS($1:80)),)="1111",OFFSET(TH!N$1,SMALL(Dong1,ROWS($1:80)),),OFFSET(TH!O$1,SMALL(Dong1,ROWS($1:80)),)))</f>
        <v>0</v>
      </c>
      <c r="G93" s="118">
        <f ca="1">IF(ROWS($1:80)&gt;COUNT(Dong1),"",IF(OFFSET(TH!N$1,SMALL(Dong1,ROWS($1:80)),)="1111",OFFSET(TH!M$1,SMALL(Dong1,ROWS($1:80)),),0))</f>
        <v>1400000000</v>
      </c>
      <c r="H93" s="116">
        <f ca="1">IF(ROWS($1:80)&gt;COUNT(Dong1),"",IF(OFFSET(TH!O$1,SMALL(Dong1,ROWS($1:80)),)="1111",OFFSET(TH!M$1,SMALL(Dong1,ROWS($1:80)),),0))</f>
        <v>0</v>
      </c>
      <c r="I93" s="114">
        <f t="shared" ca="1" si="1"/>
        <v>1647054000</v>
      </c>
      <c r="J93" s="119"/>
    </row>
    <row r="94" spans="1:10" ht="19.5" customHeight="1">
      <c r="A94" s="113">
        <f ca="1">IF(ROWS($1:81)&gt;COUNT(Dong1),"",OFFSET(TH!C$1,SMALL(Dong1,ROWS($1:81)),))</f>
        <v>42686</v>
      </c>
      <c r="B94" s="113">
        <f ca="1">IF(ROWS($1:81)&gt;COUNT(Dong1),"",OFFSET(TH!E$1,SMALL(Dong1,ROWS($1:81)),))</f>
        <v>42686</v>
      </c>
      <c r="C94" s="114" t="str">
        <f ca="1">IF(ROWS($1:81)&gt;COUNT(Dong1),"",IF(OFFSET(TH!N$1,SMALL(Dong1,ROWS($1:81)),)="1111",OFFSET(TH!D$1,SMALL(Dong1,ROWS($1:81)),),""))</f>
        <v/>
      </c>
      <c r="D94" s="115" t="str">
        <f ca="1">IF(ROWS($1:81)&gt;COUNT(Dong1),"",IF(OFFSET(TH!O$1,SMALL(Dong1,ROWS($1:81)),)="1111",OFFSET(TH!D$1,SMALL(Dong1,ROWS($1:81)),),""))</f>
        <v>C67</v>
      </c>
      <c r="E94" s="166" t="str">
        <f ca="1">IF(ROWS($1:81)&gt;COUNT(Dong1),"",OFFSET(TH!F$1,SMALL(Dong1,ROWS($1:81)),))</f>
        <v xml:space="preserve">Tiền mực </v>
      </c>
      <c r="F94" s="117">
        <f ca="1">IF(ROWS($1:81)&gt;COUNT(Dong1),"",IF(OFFSET(TH!O$1,SMALL(Dong1,ROWS($1:81)),)="1111",OFFSET(TH!N$1,SMALL(Dong1,ROWS($1:81)),),OFFSET(TH!O$1,SMALL(Dong1,ROWS($1:81)),)))</f>
        <v>0</v>
      </c>
      <c r="G94" s="118">
        <f ca="1">IF(ROWS($1:81)&gt;COUNT(Dong1),"",IF(OFFSET(TH!N$1,SMALL(Dong1,ROWS($1:81)),)="1111",OFFSET(TH!M$1,SMALL(Dong1,ROWS($1:81)),),0))</f>
        <v>0</v>
      </c>
      <c r="H94" s="116">
        <f ca="1">IF(ROWS($1:81)&gt;COUNT(Dong1),"",IF(OFFSET(TH!O$1,SMALL(Dong1,ROWS($1:81)),)="1111",OFFSET(TH!M$1,SMALL(Dong1,ROWS($1:81)),),0))</f>
        <v>27000000</v>
      </c>
      <c r="I94" s="114">
        <f t="shared" ca="1" si="1"/>
        <v>1620054000</v>
      </c>
      <c r="J94" s="119"/>
    </row>
    <row r="95" spans="1:10" ht="19.5" customHeight="1">
      <c r="A95" s="113">
        <f ca="1">IF(ROWS($1:82)&gt;COUNT(Dong1),"",OFFSET(TH!C$1,SMALL(Dong1,ROWS($1:82)),))</f>
        <v>42686</v>
      </c>
      <c r="B95" s="113">
        <f ca="1">IF(ROWS($1:82)&gt;COUNT(Dong1),"",OFFSET(TH!E$1,SMALL(Dong1,ROWS($1:82)),))</f>
        <v>42686</v>
      </c>
      <c r="C95" s="114" t="str">
        <f ca="1">IF(ROWS($1:82)&gt;COUNT(Dong1),"",IF(OFFSET(TH!N$1,SMALL(Dong1,ROWS($1:82)),)="1111",OFFSET(TH!D$1,SMALL(Dong1,ROWS($1:82)),),""))</f>
        <v/>
      </c>
      <c r="D95" s="115" t="str">
        <f ca="1">IF(ROWS($1:82)&gt;COUNT(Dong1),"",IF(OFFSET(TH!O$1,SMALL(Dong1,ROWS($1:82)),)="1111",OFFSET(TH!D$1,SMALL(Dong1,ROWS($1:82)),),""))</f>
        <v>C68</v>
      </c>
      <c r="E95" s="166" t="str">
        <f ca="1">IF(ROWS($1:82)&gt;COUNT(Dong1),"",OFFSET(TH!F$1,SMALL(Dong1,ROWS($1:82)),))</f>
        <v>Tiền hụi - Chị Cẩm</v>
      </c>
      <c r="F95" s="117">
        <f ca="1">IF(ROWS($1:82)&gt;COUNT(Dong1),"",IF(OFFSET(TH!O$1,SMALL(Dong1,ROWS($1:82)),)="1111",OFFSET(TH!N$1,SMALL(Dong1,ROWS($1:82)),),OFFSET(TH!O$1,SMALL(Dong1,ROWS($1:82)),)))</f>
        <v>0</v>
      </c>
      <c r="G95" s="118">
        <f ca="1">IF(ROWS($1:82)&gt;COUNT(Dong1),"",IF(OFFSET(TH!N$1,SMALL(Dong1,ROWS($1:82)),)="1111",OFFSET(TH!M$1,SMALL(Dong1,ROWS($1:82)),),0))</f>
        <v>0</v>
      </c>
      <c r="H95" s="116">
        <f ca="1">IF(ROWS($1:82)&gt;COUNT(Dong1),"",IF(OFFSET(TH!O$1,SMALL(Dong1,ROWS($1:82)),)="1111",OFFSET(TH!M$1,SMALL(Dong1,ROWS($1:82)),),0))</f>
        <v>20000000</v>
      </c>
      <c r="I95" s="114">
        <f t="shared" ca="1" si="1"/>
        <v>1600054000</v>
      </c>
      <c r="J95" s="119"/>
    </row>
    <row r="96" spans="1:10" ht="19.5" customHeight="1">
      <c r="A96" s="113">
        <f ca="1">IF(ROWS($1:83)&gt;COUNT(Dong1),"",OFFSET(TH!C$1,SMALL(Dong1,ROWS($1:83)),))</f>
        <v>42686</v>
      </c>
      <c r="B96" s="113">
        <f ca="1">IF(ROWS($1:83)&gt;COUNT(Dong1),"",OFFSET(TH!E$1,SMALL(Dong1,ROWS($1:83)),))</f>
        <v>42686</v>
      </c>
      <c r="C96" s="114" t="str">
        <f ca="1">IF(ROWS($1:83)&gt;COUNT(Dong1),"",IF(OFFSET(TH!N$1,SMALL(Dong1,ROWS($1:83)),)="1111",OFFSET(TH!D$1,SMALL(Dong1,ROWS($1:83)),),""))</f>
        <v/>
      </c>
      <c r="D96" s="115" t="str">
        <f ca="1">IF(ROWS($1:83)&gt;COUNT(Dong1),"",IF(OFFSET(TH!O$1,SMALL(Dong1,ROWS($1:83)),)="1111",OFFSET(TH!D$1,SMALL(Dong1,ROWS($1:83)),),""))</f>
        <v>C69</v>
      </c>
      <c r="E96" s="166" t="str">
        <f ca="1">IF(ROWS($1:83)&gt;COUNT(Dong1),"",OFFSET(TH!F$1,SMALL(Dong1,ROWS($1:83)),))</f>
        <v>Tiền cá Bò</v>
      </c>
      <c r="F96" s="117" t="str">
        <f ca="1">IF(ROWS($1:83)&gt;COUNT(Dong1),"",IF(OFFSET(TH!O$1,SMALL(Dong1,ROWS($1:83)),)="1111",OFFSET(TH!N$1,SMALL(Dong1,ROWS($1:83)),),OFFSET(TH!O$1,SMALL(Dong1,ROWS($1:83)),)))</f>
        <v>331</v>
      </c>
      <c r="G96" s="118">
        <f ca="1">IF(ROWS($1:83)&gt;COUNT(Dong1),"",IF(OFFSET(TH!N$1,SMALL(Dong1,ROWS($1:83)),)="1111",OFFSET(TH!M$1,SMALL(Dong1,ROWS($1:83)),),0))</f>
        <v>0</v>
      </c>
      <c r="H96" s="116">
        <f ca="1">IF(ROWS($1:83)&gt;COUNT(Dong1),"",IF(OFFSET(TH!O$1,SMALL(Dong1,ROWS($1:83)),)="1111",OFFSET(TH!M$1,SMALL(Dong1,ROWS($1:83)),),0))</f>
        <v>1409360000</v>
      </c>
      <c r="I96" s="114">
        <f t="shared" ca="1" si="1"/>
        <v>190694000</v>
      </c>
      <c r="J96" s="119"/>
    </row>
    <row r="97" spans="1:10" ht="19.5" customHeight="1">
      <c r="A97" s="113">
        <f ca="1">IF(ROWS($1:84)&gt;COUNT(Dong1),"",OFFSET(TH!C$1,SMALL(Dong1,ROWS($1:84)),))</f>
        <v>42686</v>
      </c>
      <c r="B97" s="113">
        <f ca="1">IF(ROWS($1:84)&gt;COUNT(Dong1),"",OFFSET(TH!E$1,SMALL(Dong1,ROWS($1:84)),))</f>
        <v>42686</v>
      </c>
      <c r="C97" s="114" t="str">
        <f ca="1">IF(ROWS($1:84)&gt;COUNT(Dong1),"",IF(OFFSET(TH!N$1,SMALL(Dong1,ROWS($1:84)),)="1111",OFFSET(TH!D$1,SMALL(Dong1,ROWS($1:84)),),""))</f>
        <v/>
      </c>
      <c r="D97" s="115" t="str">
        <f ca="1">IF(ROWS($1:84)&gt;COUNT(Dong1),"",IF(OFFSET(TH!O$1,SMALL(Dong1,ROWS($1:84)),)="1111",OFFSET(TH!D$1,SMALL(Dong1,ROWS($1:84)),),""))</f>
        <v>C70</v>
      </c>
      <c r="E97" s="166" t="str">
        <f ca="1">IF(ROWS($1:84)&gt;COUNT(Dong1),"",OFFSET(TH!F$1,SMALL(Dong1,ROWS($1:84)),))</f>
        <v>Tiền xe chở Blook máy</v>
      </c>
      <c r="F97" s="117">
        <f ca="1">IF(ROWS($1:84)&gt;COUNT(Dong1),"",IF(OFFSET(TH!O$1,SMALL(Dong1,ROWS($1:84)),)="1111",OFFSET(TH!N$1,SMALL(Dong1,ROWS($1:84)),),OFFSET(TH!O$1,SMALL(Dong1,ROWS($1:84)),)))</f>
        <v>0</v>
      </c>
      <c r="G97" s="118">
        <f ca="1">IF(ROWS($1:84)&gt;COUNT(Dong1),"",IF(OFFSET(TH!N$1,SMALL(Dong1,ROWS($1:84)),)="1111",OFFSET(TH!M$1,SMALL(Dong1,ROWS($1:84)),),0))</f>
        <v>0</v>
      </c>
      <c r="H97" s="116">
        <f ca="1">IF(ROWS($1:84)&gt;COUNT(Dong1),"",IF(OFFSET(TH!O$1,SMALL(Dong1,ROWS($1:84)),)="1111",OFFSET(TH!M$1,SMALL(Dong1,ROWS($1:84)),),0))</f>
        <v>400000</v>
      </c>
      <c r="I97" s="114">
        <f t="shared" ca="1" si="1"/>
        <v>190294000</v>
      </c>
      <c r="J97" s="119"/>
    </row>
    <row r="98" spans="1:10" ht="19.5" customHeight="1">
      <c r="A98" s="113">
        <f ca="1">IF(ROWS($1:85)&gt;COUNT(Dong1),"",OFFSET(TH!C$1,SMALL(Dong1,ROWS($1:85)),))</f>
        <v>42686</v>
      </c>
      <c r="B98" s="113">
        <f ca="1">IF(ROWS($1:85)&gt;COUNT(Dong1),"",OFFSET(TH!E$1,SMALL(Dong1,ROWS($1:85)),))</f>
        <v>42686</v>
      </c>
      <c r="C98" s="114" t="str">
        <f ca="1">IF(ROWS($1:85)&gt;COUNT(Dong1),"",IF(OFFSET(TH!N$1,SMALL(Dong1,ROWS($1:85)),)="1111",OFFSET(TH!D$1,SMALL(Dong1,ROWS($1:85)),),""))</f>
        <v/>
      </c>
      <c r="D98" s="115" t="str">
        <f ca="1">IF(ROWS($1:85)&gt;COUNT(Dong1),"",IF(OFFSET(TH!O$1,SMALL(Dong1,ROWS($1:85)),)="1111",OFFSET(TH!D$1,SMALL(Dong1,ROWS($1:85)),),""))</f>
        <v>C71</v>
      </c>
      <c r="E98" s="166" t="str">
        <f ca="1">IF(ROWS($1:85)&gt;COUNT(Dong1),"",OFFSET(TH!F$1,SMALL(Dong1,ROWS($1:85)),))</f>
        <v>Chi phí - C Duy</v>
      </c>
      <c r="F98" s="117">
        <f ca="1">IF(ROWS($1:85)&gt;COUNT(Dong1),"",IF(OFFSET(TH!O$1,SMALL(Dong1,ROWS($1:85)),)="1111",OFFSET(TH!N$1,SMALL(Dong1,ROWS($1:85)),),OFFSET(TH!O$1,SMALL(Dong1,ROWS($1:85)),)))</f>
        <v>0</v>
      </c>
      <c r="G98" s="118">
        <f ca="1">IF(ROWS($1:85)&gt;COUNT(Dong1),"",IF(OFFSET(TH!N$1,SMALL(Dong1,ROWS($1:85)),)="1111",OFFSET(TH!M$1,SMALL(Dong1,ROWS($1:85)),),0))</f>
        <v>0</v>
      </c>
      <c r="H98" s="116">
        <f ca="1">IF(ROWS($1:85)&gt;COUNT(Dong1),"",IF(OFFSET(TH!O$1,SMALL(Dong1,ROWS($1:85)),)="1111",OFFSET(TH!M$1,SMALL(Dong1,ROWS($1:85)),),0))</f>
        <v>5000000</v>
      </c>
      <c r="I98" s="114">
        <f t="shared" ca="1" si="1"/>
        <v>185294000</v>
      </c>
      <c r="J98" s="119"/>
    </row>
    <row r="99" spans="1:10" ht="19.5" customHeight="1">
      <c r="A99" s="113">
        <f ca="1">IF(ROWS($1:86)&gt;COUNT(Dong1),"",OFFSET(TH!C$1,SMALL(Dong1,ROWS($1:86)),))</f>
        <v>42686</v>
      </c>
      <c r="B99" s="113">
        <f ca="1">IF(ROWS($1:86)&gt;COUNT(Dong1),"",OFFSET(TH!E$1,SMALL(Dong1,ROWS($1:86)),))</f>
        <v>42686</v>
      </c>
      <c r="C99" s="114" t="str">
        <f ca="1">IF(ROWS($1:86)&gt;COUNT(Dong1),"",IF(OFFSET(TH!N$1,SMALL(Dong1,ROWS($1:86)),)="1111",OFFSET(TH!D$1,SMALL(Dong1,ROWS($1:86)),),""))</f>
        <v/>
      </c>
      <c r="D99" s="115" t="str">
        <f ca="1">IF(ROWS($1:86)&gt;COUNT(Dong1),"",IF(OFFSET(TH!O$1,SMALL(Dong1,ROWS($1:86)),)="1111",OFFSET(TH!D$1,SMALL(Dong1,ROWS($1:86)),),""))</f>
        <v>C72</v>
      </c>
      <c r="E99" s="166" t="str">
        <f ca="1">IF(ROWS($1:86)&gt;COUNT(Dong1),"",OFFSET(TH!F$1,SMALL(Dong1,ROWS($1:86)),))</f>
        <v>Mua gas kho lanh5</v>
      </c>
      <c r="F99" s="117">
        <f ca="1">IF(ROWS($1:86)&gt;COUNT(Dong1),"",IF(OFFSET(TH!O$1,SMALL(Dong1,ROWS($1:86)),)="1111",OFFSET(TH!N$1,SMALL(Dong1,ROWS($1:86)),),OFFSET(TH!O$1,SMALL(Dong1,ROWS($1:86)),)))</f>
        <v>0</v>
      </c>
      <c r="G99" s="118">
        <f ca="1">IF(ROWS($1:86)&gt;COUNT(Dong1),"",IF(OFFSET(TH!N$1,SMALL(Dong1,ROWS($1:86)),)="1111",OFFSET(TH!M$1,SMALL(Dong1,ROWS($1:86)),),0))</f>
        <v>0</v>
      </c>
      <c r="H99" s="116">
        <f ca="1">IF(ROWS($1:86)&gt;COUNT(Dong1),"",IF(OFFSET(TH!O$1,SMALL(Dong1,ROWS($1:86)),)="1111",OFFSET(TH!M$1,SMALL(Dong1,ROWS($1:86)),),0))</f>
        <v>2600000</v>
      </c>
      <c r="I99" s="114">
        <f t="shared" ca="1" si="1"/>
        <v>182694000</v>
      </c>
      <c r="J99" s="119"/>
    </row>
    <row r="100" spans="1:10" ht="19.5" customHeight="1">
      <c r="A100" s="113">
        <f ca="1">IF(ROWS($1:87)&gt;COUNT(Dong1),"",OFFSET(TH!C$1,SMALL(Dong1,ROWS($1:87)),))</f>
        <v>42688</v>
      </c>
      <c r="B100" s="113">
        <f ca="1">IF(ROWS($1:87)&gt;COUNT(Dong1),"",OFFSET(TH!E$1,SMALL(Dong1,ROWS($1:87)),))</f>
        <v>42688</v>
      </c>
      <c r="C100" s="114" t="str">
        <f ca="1">IF(ROWS($1:87)&gt;COUNT(Dong1),"",IF(OFFSET(TH!N$1,SMALL(Dong1,ROWS($1:87)),)="1111",OFFSET(TH!D$1,SMALL(Dong1,ROWS($1:87)),),""))</f>
        <v>T13</v>
      </c>
      <c r="D100" s="115" t="str">
        <f ca="1">IF(ROWS($1:87)&gt;COUNT(Dong1),"",IF(OFFSET(TH!O$1,SMALL(Dong1,ROWS($1:87)),)="1111",OFFSET(TH!D$1,SMALL(Dong1,ROWS($1:87)),),""))</f>
        <v/>
      </c>
      <c r="E100" s="166" t="str">
        <f ca="1">IF(ROWS($1:87)&gt;COUNT(Dong1),"",OFFSET(TH!F$1,SMALL(Dong1,ROWS($1:87)),))</f>
        <v>Thu t/ứng PC: 62 ngày 10/10</v>
      </c>
      <c r="F100" s="117">
        <f ca="1">IF(ROWS($1:87)&gt;COUNT(Dong1),"",IF(OFFSET(TH!O$1,SMALL(Dong1,ROWS($1:87)),)="1111",OFFSET(TH!N$1,SMALL(Dong1,ROWS($1:87)),),OFFSET(TH!O$1,SMALL(Dong1,ROWS($1:87)),)))</f>
        <v>0</v>
      </c>
      <c r="G100" s="118">
        <f ca="1">IF(ROWS($1:87)&gt;COUNT(Dong1),"",IF(OFFSET(TH!N$1,SMALL(Dong1,ROWS($1:87)),)="1111",OFFSET(TH!M$1,SMALL(Dong1,ROWS($1:87)),),0))</f>
        <v>5000000</v>
      </c>
      <c r="H100" s="116">
        <f ca="1">IF(ROWS($1:87)&gt;COUNT(Dong1),"",IF(OFFSET(TH!O$1,SMALL(Dong1,ROWS($1:87)),)="1111",OFFSET(TH!M$1,SMALL(Dong1,ROWS($1:87)),),0))</f>
        <v>0</v>
      </c>
      <c r="I100" s="114">
        <f t="shared" ca="1" si="1"/>
        <v>187694000</v>
      </c>
      <c r="J100" s="119"/>
    </row>
    <row r="101" spans="1:10" ht="19.5" customHeight="1">
      <c r="A101" s="113">
        <f ca="1">IF(ROWS($1:88)&gt;COUNT(Dong1),"",OFFSET(TH!C$1,SMALL(Dong1,ROWS($1:88)),))</f>
        <v>42688</v>
      </c>
      <c r="B101" s="113">
        <f ca="1">IF(ROWS($1:88)&gt;COUNT(Dong1),"",OFFSET(TH!E$1,SMALL(Dong1,ROWS($1:88)),))</f>
        <v>42688</v>
      </c>
      <c r="C101" s="114" t="str">
        <f ca="1">IF(ROWS($1:88)&gt;COUNT(Dong1),"",IF(OFFSET(TH!N$1,SMALL(Dong1,ROWS($1:88)),)="1111",OFFSET(TH!D$1,SMALL(Dong1,ROWS($1:88)),),""))</f>
        <v/>
      </c>
      <c r="D101" s="115" t="str">
        <f ca="1">IF(ROWS($1:88)&gt;COUNT(Dong1),"",IF(OFFSET(TH!O$1,SMALL(Dong1,ROWS($1:88)),)="1111",OFFSET(TH!D$1,SMALL(Dong1,ROWS($1:88)),),""))</f>
        <v>C73</v>
      </c>
      <c r="E101" s="166" t="str">
        <f ca="1">IF(ROWS($1:88)&gt;COUNT(Dong1),"",OFFSET(TH!F$1,SMALL(Dong1,ROWS($1:88)),))</f>
        <v>Chi phí xuất hàng</v>
      </c>
      <c r="F101" s="117">
        <f ca="1">IF(ROWS($1:88)&gt;COUNT(Dong1),"",IF(OFFSET(TH!O$1,SMALL(Dong1,ROWS($1:88)),)="1111",OFFSET(TH!N$1,SMALL(Dong1,ROWS($1:88)),),OFFSET(TH!O$1,SMALL(Dong1,ROWS($1:88)),)))</f>
        <v>0</v>
      </c>
      <c r="G101" s="118">
        <f ca="1">IF(ROWS($1:88)&gt;COUNT(Dong1),"",IF(OFFSET(TH!N$1,SMALL(Dong1,ROWS($1:88)),)="1111",OFFSET(TH!M$1,SMALL(Dong1,ROWS($1:88)),),0))</f>
        <v>0</v>
      </c>
      <c r="H101" s="116">
        <f ca="1">IF(ROWS($1:88)&gt;COUNT(Dong1),"",IF(OFFSET(TH!O$1,SMALL(Dong1,ROWS($1:88)),)="1111",OFFSET(TH!M$1,SMALL(Dong1,ROWS($1:88)),),0))</f>
        <v>9270000</v>
      </c>
      <c r="I101" s="114">
        <f ca="1">IF(E101&lt;&gt;"",I100+G101-H101,0)</f>
        <v>178424000</v>
      </c>
      <c r="J101" s="119"/>
    </row>
    <row r="102" spans="1:10" ht="19.5" customHeight="1">
      <c r="A102" s="113">
        <f ca="1">IF(ROWS($1:89)&gt;COUNT(Dong1),"",OFFSET(TH!C$1,SMALL(Dong1,ROWS($1:89)),))</f>
        <v>42688</v>
      </c>
      <c r="B102" s="113">
        <f ca="1">IF(ROWS($1:89)&gt;COUNT(Dong1),"",OFFSET(TH!E$1,SMALL(Dong1,ROWS($1:89)),))</f>
        <v>42688</v>
      </c>
      <c r="C102" s="114" t="str">
        <f ca="1">IF(ROWS($1:89)&gt;COUNT(Dong1),"",IF(OFFSET(TH!N$1,SMALL(Dong1,ROWS($1:89)),)="1111",OFFSET(TH!D$1,SMALL(Dong1,ROWS($1:89)),),""))</f>
        <v>T14</v>
      </c>
      <c r="D102" s="115" t="str">
        <f ca="1">IF(ROWS($1:89)&gt;COUNT(Dong1),"",IF(OFFSET(TH!O$1,SMALL(Dong1,ROWS($1:89)),)="1111",OFFSET(TH!D$1,SMALL(Dong1,ROWS($1:89)),),""))</f>
        <v/>
      </c>
      <c r="E102" s="166" t="str">
        <f ca="1">IF(ROWS($1:89)&gt;COUNT(Dong1),"",OFFSET(TH!F$1,SMALL(Dong1,ROWS($1:89)),))</f>
        <v>Thu t/ứng PC: 123 ngày 22/10</v>
      </c>
      <c r="F102" s="117">
        <f ca="1">IF(ROWS($1:89)&gt;COUNT(Dong1),"",IF(OFFSET(TH!O$1,SMALL(Dong1,ROWS($1:89)),)="1111",OFFSET(TH!N$1,SMALL(Dong1,ROWS($1:89)),),OFFSET(TH!O$1,SMALL(Dong1,ROWS($1:89)),)))</f>
        <v>0</v>
      </c>
      <c r="G102" s="118">
        <f ca="1">IF(ROWS($1:89)&gt;COUNT(Dong1),"",IF(OFFSET(TH!N$1,SMALL(Dong1,ROWS($1:89)),)="1111",OFFSET(TH!M$1,SMALL(Dong1,ROWS($1:89)),),0))</f>
        <v>20000000</v>
      </c>
      <c r="H102" s="116">
        <f ca="1">IF(ROWS($1:89)&gt;COUNT(Dong1),"",IF(OFFSET(TH!O$1,SMALL(Dong1,ROWS($1:89)),)="1111",OFFSET(TH!M$1,SMALL(Dong1,ROWS($1:89)),),0))</f>
        <v>0</v>
      </c>
      <c r="I102" s="114">
        <f ca="1">IF(E102&lt;&gt;"",I101+G102-H102,0)</f>
        <v>198424000</v>
      </c>
      <c r="J102" s="119"/>
    </row>
    <row r="103" spans="1:10" ht="19.5" customHeight="1">
      <c r="A103" s="113">
        <f ca="1">IF(ROWS($1:90)&gt;COUNT(Dong1),"",OFFSET(TH!C$1,SMALL(Dong1,ROWS($1:90)),))</f>
        <v>42688</v>
      </c>
      <c r="B103" s="113">
        <f ca="1">IF(ROWS($1:90)&gt;COUNT(Dong1),"",OFFSET(TH!E$1,SMALL(Dong1,ROWS($1:90)),))</f>
        <v>42688</v>
      </c>
      <c r="C103" s="114" t="str">
        <f ca="1">IF(ROWS($1:90)&gt;COUNT(Dong1),"",IF(OFFSET(TH!N$1,SMALL(Dong1,ROWS($1:90)),)="1111",OFFSET(TH!D$1,SMALL(Dong1,ROWS($1:90)),),""))</f>
        <v/>
      </c>
      <c r="D103" s="115" t="str">
        <f ca="1">IF(ROWS($1:90)&gt;COUNT(Dong1),"",IF(OFFSET(TH!O$1,SMALL(Dong1,ROWS($1:90)),)="1111",OFFSET(TH!D$1,SMALL(Dong1,ROWS($1:90)),),""))</f>
        <v>C74</v>
      </c>
      <c r="E103" s="166" t="str">
        <f ca="1">IF(ROWS($1:90)&gt;COUNT(Dong1),"",OFFSET(TH!F$1,SMALL(Dong1,ROWS($1:90)),))</f>
        <v>Chi phí tiền tàu</v>
      </c>
      <c r="F103" s="117">
        <f ca="1">IF(ROWS($1:90)&gt;COUNT(Dong1),"",IF(OFFSET(TH!O$1,SMALL(Dong1,ROWS($1:90)),)="1111",OFFSET(TH!N$1,SMALL(Dong1,ROWS($1:90)),),OFFSET(TH!O$1,SMALL(Dong1,ROWS($1:90)),)))</f>
        <v>0</v>
      </c>
      <c r="G103" s="118">
        <f ca="1">IF(ROWS($1:90)&gt;COUNT(Dong1),"",IF(OFFSET(TH!N$1,SMALL(Dong1,ROWS($1:90)),)="1111",OFFSET(TH!M$1,SMALL(Dong1,ROWS($1:90)),),0))</f>
        <v>0</v>
      </c>
      <c r="H103" s="116">
        <f ca="1">IF(ROWS($1:90)&gt;COUNT(Dong1),"",IF(OFFSET(TH!O$1,SMALL(Dong1,ROWS($1:90)),)="1111",OFFSET(TH!M$1,SMALL(Dong1,ROWS($1:90)),),0))</f>
        <v>14673000</v>
      </c>
      <c r="I103" s="114">
        <f ca="1">IF(E103&lt;&gt;"",I102+G103-H103,0)</f>
        <v>183751000</v>
      </c>
      <c r="J103" s="119"/>
    </row>
    <row r="104" spans="1:10" ht="19.5" customHeight="1">
      <c r="A104" s="113">
        <f ca="1">IF(ROWS($1:91)&gt;COUNT(Dong1),"",OFFSET(TH!C$1,SMALL(Dong1,ROWS($1:91)),))</f>
        <v>42688</v>
      </c>
      <c r="B104" s="113">
        <f ca="1">IF(ROWS($1:91)&gt;COUNT(Dong1),"",OFFSET(TH!E$1,SMALL(Dong1,ROWS($1:91)),))</f>
        <v>42688</v>
      </c>
      <c r="C104" s="114" t="str">
        <f ca="1">IF(ROWS($1:91)&gt;COUNT(Dong1),"",IF(OFFSET(TH!N$1,SMALL(Dong1,ROWS($1:91)),)="1111",OFFSET(TH!D$1,SMALL(Dong1,ROWS($1:91)),),""))</f>
        <v/>
      </c>
      <c r="D104" s="115" t="str">
        <f ca="1">IF(ROWS($1:91)&gt;COUNT(Dong1),"",IF(OFFSET(TH!O$1,SMALL(Dong1,ROWS($1:91)),)="1111",OFFSET(TH!D$1,SMALL(Dong1,ROWS($1:91)),),""))</f>
        <v>C75</v>
      </c>
      <c r="E104" s="166" t="str">
        <f ca="1">IF(ROWS($1:91)&gt;COUNT(Dong1),"",OFFSET(TH!F$1,SMALL(Dong1,ROWS($1:91)),))</f>
        <v>Mua đồ cúng 15/10 Al</v>
      </c>
      <c r="F104" s="117">
        <f ca="1">IF(ROWS($1:91)&gt;COUNT(Dong1),"",IF(OFFSET(TH!O$1,SMALL(Dong1,ROWS($1:91)),)="1111",OFFSET(TH!N$1,SMALL(Dong1,ROWS($1:91)),),OFFSET(TH!O$1,SMALL(Dong1,ROWS($1:91)),)))</f>
        <v>0</v>
      </c>
      <c r="G104" s="118">
        <f ca="1">IF(ROWS($1:91)&gt;COUNT(Dong1),"",IF(OFFSET(TH!N$1,SMALL(Dong1,ROWS($1:91)),)="1111",OFFSET(TH!M$1,SMALL(Dong1,ROWS($1:91)),),0))</f>
        <v>0</v>
      </c>
      <c r="H104" s="116">
        <f ca="1">IF(ROWS($1:91)&gt;COUNT(Dong1),"",IF(OFFSET(TH!O$1,SMALL(Dong1,ROWS($1:91)),)="1111",OFFSET(TH!M$1,SMALL(Dong1,ROWS($1:91)),),0))</f>
        <v>500000</v>
      </c>
      <c r="I104" s="114">
        <f ca="1">IF(E104&lt;&gt;"",I103+G104-H104,0)</f>
        <v>183251000</v>
      </c>
      <c r="J104" s="119"/>
    </row>
    <row r="105" spans="1:10" ht="19.5" customHeight="1">
      <c r="A105" s="113">
        <f ca="1">IF(ROWS($1:92)&gt;COUNT(Dong1),"",OFFSET(TH!C$1,SMALL(Dong1,ROWS($1:92)),))</f>
        <v>42688</v>
      </c>
      <c r="B105" s="113">
        <f ca="1">IF(ROWS($1:92)&gt;COUNT(Dong1),"",OFFSET(TH!E$1,SMALL(Dong1,ROWS($1:92)),))</f>
        <v>42688</v>
      </c>
      <c r="C105" s="114" t="str">
        <f ca="1">IF(ROWS($1:92)&gt;COUNT(Dong1),"",IF(OFFSET(TH!N$1,SMALL(Dong1,ROWS($1:92)),)="1111",OFFSET(TH!D$1,SMALL(Dong1,ROWS($1:92)),),""))</f>
        <v/>
      </c>
      <c r="D105" s="115" t="str">
        <f ca="1">IF(ROWS($1:92)&gt;COUNT(Dong1),"",IF(OFFSET(TH!O$1,SMALL(Dong1,ROWS($1:92)),)="1111",OFFSET(TH!D$1,SMALL(Dong1,ROWS($1:92)),),""))</f>
        <v>C76</v>
      </c>
      <c r="E105" s="166" t="str">
        <f ca="1">IF(ROWS($1:92)&gt;COUNT(Dong1),"",OFFSET(TH!F$1,SMALL(Dong1,ROWS($1:92)),))</f>
        <v>Mua đồ cùng xưởng</v>
      </c>
      <c r="F105" s="117">
        <f ca="1">IF(ROWS($1:92)&gt;COUNT(Dong1),"",IF(OFFSET(TH!O$1,SMALL(Dong1,ROWS($1:92)),)="1111",OFFSET(TH!N$1,SMALL(Dong1,ROWS($1:92)),),OFFSET(TH!O$1,SMALL(Dong1,ROWS($1:92)),)))</f>
        <v>0</v>
      </c>
      <c r="G105" s="118">
        <f ca="1">IF(ROWS($1:92)&gt;COUNT(Dong1),"",IF(OFFSET(TH!N$1,SMALL(Dong1,ROWS($1:92)),)="1111",OFFSET(TH!M$1,SMALL(Dong1,ROWS($1:92)),),0))</f>
        <v>0</v>
      </c>
      <c r="H105" s="116">
        <f ca="1">IF(ROWS($1:92)&gt;COUNT(Dong1),"",IF(OFFSET(TH!O$1,SMALL(Dong1,ROWS($1:92)),)="1111",OFFSET(TH!M$1,SMALL(Dong1,ROWS($1:92)),),0))</f>
        <v>320000</v>
      </c>
      <c r="I105" s="114">
        <f t="shared" ref="I105:I168" ca="1" si="2">IF(E105&lt;&gt;"",I104+G105-H105,0)</f>
        <v>182931000</v>
      </c>
      <c r="J105" s="119"/>
    </row>
    <row r="106" spans="1:10" ht="19.5" customHeight="1">
      <c r="A106" s="113">
        <f ca="1">IF(ROWS($1:93)&gt;COUNT(Dong1),"",OFFSET(TH!C$1,SMALL(Dong1,ROWS($1:93)),))</f>
        <v>42688</v>
      </c>
      <c r="B106" s="113">
        <f ca="1">IF(ROWS($1:93)&gt;COUNT(Dong1),"",OFFSET(TH!E$1,SMALL(Dong1,ROWS($1:93)),))</f>
        <v>42688</v>
      </c>
      <c r="C106" s="114" t="str">
        <f ca="1">IF(ROWS($1:93)&gt;COUNT(Dong1),"",IF(OFFSET(TH!N$1,SMALL(Dong1,ROWS($1:93)),)="1111",OFFSET(TH!D$1,SMALL(Dong1,ROWS($1:93)),),""))</f>
        <v/>
      </c>
      <c r="D106" s="115" t="str">
        <f ca="1">IF(ROWS($1:93)&gt;COUNT(Dong1),"",IF(OFFSET(TH!O$1,SMALL(Dong1,ROWS($1:93)),)="1111",OFFSET(TH!D$1,SMALL(Dong1,ROWS($1:93)),),""))</f>
        <v>C77</v>
      </c>
      <c r="E106" s="166" t="str">
        <f ca="1">IF(ROWS($1:93)&gt;COUNT(Dong1),"",OFFSET(TH!F$1,SMALL(Dong1,ROWS($1:93)),))</f>
        <v>Tiền phí lưu kho</v>
      </c>
      <c r="F106" s="117">
        <f ca="1">IF(ROWS($1:93)&gt;COUNT(Dong1),"",IF(OFFSET(TH!O$1,SMALL(Dong1,ROWS($1:93)),)="1111",OFFSET(TH!N$1,SMALL(Dong1,ROWS($1:93)),),OFFSET(TH!O$1,SMALL(Dong1,ROWS($1:93)),)))</f>
        <v>0</v>
      </c>
      <c r="G106" s="118">
        <f ca="1">IF(ROWS($1:93)&gt;COUNT(Dong1),"",IF(OFFSET(TH!N$1,SMALL(Dong1,ROWS($1:93)),)="1111",OFFSET(TH!M$1,SMALL(Dong1,ROWS($1:93)),),0))</f>
        <v>0</v>
      </c>
      <c r="H106" s="116">
        <f ca="1">IF(ROWS($1:93)&gt;COUNT(Dong1),"",IF(OFFSET(TH!O$1,SMALL(Dong1,ROWS($1:93)),)="1111",OFFSET(TH!M$1,SMALL(Dong1,ROWS($1:93)),),0))</f>
        <v>110000</v>
      </c>
      <c r="I106" s="114">
        <f t="shared" ca="1" si="2"/>
        <v>182821000</v>
      </c>
      <c r="J106" s="119"/>
    </row>
    <row r="107" spans="1:10" ht="19.5" customHeight="1">
      <c r="A107" s="113">
        <f ca="1">IF(ROWS($1:94)&gt;COUNT(Dong1),"",OFFSET(TH!C$1,SMALL(Dong1,ROWS($1:94)),))</f>
        <v>42688</v>
      </c>
      <c r="B107" s="113">
        <f ca="1">IF(ROWS($1:94)&gt;COUNT(Dong1),"",OFFSET(TH!E$1,SMALL(Dong1,ROWS($1:94)),))</f>
        <v>42688</v>
      </c>
      <c r="C107" s="114" t="str">
        <f ca="1">IF(ROWS($1:94)&gt;COUNT(Dong1),"",IF(OFFSET(TH!N$1,SMALL(Dong1,ROWS($1:94)),)="1111",OFFSET(TH!D$1,SMALL(Dong1,ROWS($1:94)),),""))</f>
        <v/>
      </c>
      <c r="D107" s="115" t="str">
        <f ca="1">IF(ROWS($1:94)&gt;COUNT(Dong1),"",IF(OFFSET(TH!O$1,SMALL(Dong1,ROWS($1:94)),)="1111",OFFSET(TH!D$1,SMALL(Dong1,ROWS($1:94)),),""))</f>
        <v>C78</v>
      </c>
      <c r="E107" s="166" t="str">
        <f ca="1">IF(ROWS($1:94)&gt;COUNT(Dong1),"",OFFSET(TH!F$1,SMALL(Dong1,ROWS($1:94)),))</f>
        <v>Tiền đt &amp; internet</v>
      </c>
      <c r="F107" s="117">
        <f ca="1">IF(ROWS($1:94)&gt;COUNT(Dong1),"",IF(OFFSET(TH!O$1,SMALL(Dong1,ROWS($1:94)),)="1111",OFFSET(TH!N$1,SMALL(Dong1,ROWS($1:94)),),OFFSET(TH!O$1,SMALL(Dong1,ROWS($1:94)),)))</f>
        <v>0</v>
      </c>
      <c r="G107" s="118">
        <f ca="1">IF(ROWS($1:94)&gt;COUNT(Dong1),"",IF(OFFSET(TH!N$1,SMALL(Dong1,ROWS($1:94)),)="1111",OFFSET(TH!M$1,SMALL(Dong1,ROWS($1:94)),),0))</f>
        <v>0</v>
      </c>
      <c r="H107" s="116">
        <f ca="1">IF(ROWS($1:94)&gt;COUNT(Dong1),"",IF(OFFSET(TH!O$1,SMALL(Dong1,ROWS($1:94)),)="1111",OFFSET(TH!M$1,SMALL(Dong1,ROWS($1:94)),),0))</f>
        <v>2202000</v>
      </c>
      <c r="I107" s="114">
        <f t="shared" ca="1" si="2"/>
        <v>180619000</v>
      </c>
      <c r="J107" s="119"/>
    </row>
    <row r="108" spans="1:10" ht="19.5" customHeight="1">
      <c r="A108" s="113">
        <f ca="1">IF(ROWS($1:95)&gt;COUNT(Dong1),"",OFFSET(TH!C$1,SMALL(Dong1,ROWS($1:95)),))</f>
        <v>42688</v>
      </c>
      <c r="B108" s="113">
        <f ca="1">IF(ROWS($1:95)&gt;COUNT(Dong1),"",OFFSET(TH!E$1,SMALL(Dong1,ROWS($1:95)),))</f>
        <v>42688</v>
      </c>
      <c r="C108" s="114" t="str">
        <f ca="1">IF(ROWS($1:95)&gt;COUNT(Dong1),"",IF(OFFSET(TH!N$1,SMALL(Dong1,ROWS($1:95)),)="1111",OFFSET(TH!D$1,SMALL(Dong1,ROWS($1:95)),),""))</f>
        <v/>
      </c>
      <c r="D108" s="115" t="str">
        <f ca="1">IF(ROWS($1:95)&gt;COUNT(Dong1),"",IF(OFFSET(TH!O$1,SMALL(Dong1,ROWS($1:95)),)="1111",OFFSET(TH!D$1,SMALL(Dong1,ROWS($1:95)),),""))</f>
        <v>C79</v>
      </c>
      <c r="E108" s="166" t="str">
        <f ca="1">IF(ROWS($1:95)&gt;COUNT(Dong1),"",OFFSET(TH!F$1,SMALL(Dong1,ROWS($1:95)),))</f>
        <v>T/ứng chi phí xuất hàng</v>
      </c>
      <c r="F108" s="117">
        <f ca="1">IF(ROWS($1:95)&gt;COUNT(Dong1),"",IF(OFFSET(TH!O$1,SMALL(Dong1,ROWS($1:95)),)="1111",OFFSET(TH!N$1,SMALL(Dong1,ROWS($1:95)),),OFFSET(TH!O$1,SMALL(Dong1,ROWS($1:95)),)))</f>
        <v>0</v>
      </c>
      <c r="G108" s="118">
        <f ca="1">IF(ROWS($1:95)&gt;COUNT(Dong1),"",IF(OFFSET(TH!N$1,SMALL(Dong1,ROWS($1:95)),)="1111",OFFSET(TH!M$1,SMALL(Dong1,ROWS($1:95)),),0))</f>
        <v>0</v>
      </c>
      <c r="H108" s="116">
        <f ca="1">IF(ROWS($1:95)&gt;COUNT(Dong1),"",IF(OFFSET(TH!O$1,SMALL(Dong1,ROWS($1:95)),)="1111",OFFSET(TH!M$1,SMALL(Dong1,ROWS($1:95)),),0))</f>
        <v>10000000</v>
      </c>
      <c r="I108" s="114">
        <f t="shared" ca="1" si="2"/>
        <v>170619000</v>
      </c>
      <c r="J108" s="119"/>
    </row>
    <row r="109" spans="1:10" ht="19.5" customHeight="1">
      <c r="A109" s="113">
        <f ca="1">IF(ROWS($1:96)&gt;COUNT(Dong1),"",OFFSET(TH!C$1,SMALL(Dong1,ROWS($1:96)),))</f>
        <v>42688</v>
      </c>
      <c r="B109" s="113">
        <f ca="1">IF(ROWS($1:96)&gt;COUNT(Dong1),"",OFFSET(TH!E$1,SMALL(Dong1,ROWS($1:96)),))</f>
        <v>42688</v>
      </c>
      <c r="C109" s="114" t="str">
        <f ca="1">IF(ROWS($1:96)&gt;COUNT(Dong1),"",IF(OFFSET(TH!N$1,SMALL(Dong1,ROWS($1:96)),)="1111",OFFSET(TH!D$1,SMALL(Dong1,ROWS($1:96)),),""))</f>
        <v/>
      </c>
      <c r="D109" s="115" t="str">
        <f ca="1">IF(ROWS($1:96)&gt;COUNT(Dong1),"",IF(OFFSET(TH!O$1,SMALL(Dong1,ROWS($1:96)),)="1111",OFFSET(TH!D$1,SMALL(Dong1,ROWS($1:96)),),""))</f>
        <v>C80</v>
      </c>
      <c r="E109" s="166" t="str">
        <f ca="1">IF(ROWS($1:96)&gt;COUNT(Dong1),"",OFFSET(TH!F$1,SMALL(Dong1,ROWS($1:96)),))</f>
        <v>Tiền phí bảo vệ T10/16</v>
      </c>
      <c r="F109" s="117">
        <f ca="1">IF(ROWS($1:96)&gt;COUNT(Dong1),"",IF(OFFSET(TH!O$1,SMALL(Dong1,ROWS($1:96)),)="1111",OFFSET(TH!N$1,SMALL(Dong1,ROWS($1:96)),),OFFSET(TH!O$1,SMALL(Dong1,ROWS($1:96)),)))</f>
        <v>0</v>
      </c>
      <c r="G109" s="118">
        <f ca="1">IF(ROWS($1:96)&gt;COUNT(Dong1),"",IF(OFFSET(TH!N$1,SMALL(Dong1,ROWS($1:96)),)="1111",OFFSET(TH!M$1,SMALL(Dong1,ROWS($1:96)),),0))</f>
        <v>0</v>
      </c>
      <c r="H109" s="116">
        <f ca="1">IF(ROWS($1:96)&gt;COUNT(Dong1),"",IF(OFFSET(TH!O$1,SMALL(Dong1,ROWS($1:96)),)="1111",OFFSET(TH!M$1,SMALL(Dong1,ROWS($1:96)),),0))</f>
        <v>17655000</v>
      </c>
      <c r="I109" s="114">
        <f t="shared" ca="1" si="2"/>
        <v>152964000</v>
      </c>
      <c r="J109" s="119"/>
    </row>
    <row r="110" spans="1:10" ht="19.5" customHeight="1">
      <c r="A110" s="113">
        <f ca="1">IF(ROWS($1:97)&gt;COUNT(Dong1),"",OFFSET(TH!C$1,SMALL(Dong1,ROWS($1:97)),))</f>
        <v>42688</v>
      </c>
      <c r="B110" s="113">
        <f ca="1">IF(ROWS($1:97)&gt;COUNT(Dong1),"",OFFSET(TH!E$1,SMALL(Dong1,ROWS($1:97)),))</f>
        <v>42688</v>
      </c>
      <c r="C110" s="114" t="str">
        <f ca="1">IF(ROWS($1:97)&gt;COUNT(Dong1),"",IF(OFFSET(TH!N$1,SMALL(Dong1,ROWS($1:97)),)="1111",OFFSET(TH!D$1,SMALL(Dong1,ROWS($1:97)),),""))</f>
        <v>T15</v>
      </c>
      <c r="D110" s="115" t="str">
        <f ca="1">IF(ROWS($1:97)&gt;COUNT(Dong1),"",IF(OFFSET(TH!O$1,SMALL(Dong1,ROWS($1:97)),)="1111",OFFSET(TH!D$1,SMALL(Dong1,ROWS($1:97)),),""))</f>
        <v/>
      </c>
      <c r="E110" s="166" t="str">
        <f ca="1">IF(ROWS($1:97)&gt;COUNT(Dong1),"",OFFSET(TH!F$1,SMALL(Dong1,ROWS($1:97)),))</f>
        <v>Thu tiền NH - Q11</v>
      </c>
      <c r="F110" s="117">
        <f ca="1">IF(ROWS($1:97)&gt;COUNT(Dong1),"",IF(OFFSET(TH!O$1,SMALL(Dong1,ROWS($1:97)),)="1111",OFFSET(TH!N$1,SMALL(Dong1,ROWS($1:97)),),OFFSET(TH!O$1,SMALL(Dong1,ROWS($1:97)),)))</f>
        <v>0</v>
      </c>
      <c r="G110" s="118">
        <f ca="1">IF(ROWS($1:97)&gt;COUNT(Dong1),"",IF(OFFSET(TH!N$1,SMALL(Dong1,ROWS($1:97)),)="1111",OFFSET(TH!M$1,SMALL(Dong1,ROWS($1:97)),),0))</f>
        <v>1500000000</v>
      </c>
      <c r="H110" s="116">
        <f ca="1">IF(ROWS($1:97)&gt;COUNT(Dong1),"",IF(OFFSET(TH!O$1,SMALL(Dong1,ROWS($1:97)),)="1111",OFFSET(TH!M$1,SMALL(Dong1,ROWS($1:97)),),0))</f>
        <v>0</v>
      </c>
      <c r="I110" s="114">
        <f t="shared" ca="1" si="2"/>
        <v>1652964000</v>
      </c>
      <c r="J110" s="119"/>
    </row>
    <row r="111" spans="1:10" ht="19.5" customHeight="1">
      <c r="A111" s="113">
        <f ca="1">IF(ROWS($1:98)&gt;COUNT(Dong1),"",OFFSET(TH!C$1,SMALL(Dong1,ROWS($1:98)),))</f>
        <v>42688</v>
      </c>
      <c r="B111" s="113">
        <f ca="1">IF(ROWS($1:98)&gt;COUNT(Dong1),"",OFFSET(TH!E$1,SMALL(Dong1,ROWS($1:98)),))</f>
        <v>42688</v>
      </c>
      <c r="C111" s="114" t="str">
        <f ca="1">IF(ROWS($1:98)&gt;COUNT(Dong1),"",IF(OFFSET(TH!N$1,SMALL(Dong1,ROWS($1:98)),)="1111",OFFSET(TH!D$1,SMALL(Dong1,ROWS($1:98)),),""))</f>
        <v/>
      </c>
      <c r="D111" s="115" t="str">
        <f ca="1">IF(ROWS($1:98)&gt;COUNT(Dong1),"",IF(OFFSET(TH!O$1,SMALL(Dong1,ROWS($1:98)),)="1111",OFFSET(TH!D$1,SMALL(Dong1,ROWS($1:98)),),""))</f>
        <v>C81</v>
      </c>
      <c r="E111" s="166" t="str">
        <f ca="1">IF(ROWS($1:98)&gt;COUNT(Dong1),"",OFFSET(TH!F$1,SMALL(Dong1,ROWS($1:98)),))</f>
        <v>Nộp tiền Q4 Trà Vinh</v>
      </c>
      <c r="F111" s="117">
        <f ca="1">IF(ROWS($1:98)&gt;COUNT(Dong1),"",IF(OFFSET(TH!O$1,SMALL(Dong1,ROWS($1:98)),)="1111",OFFSET(TH!N$1,SMALL(Dong1,ROWS($1:98)),),OFFSET(TH!O$1,SMALL(Dong1,ROWS($1:98)),)))</f>
        <v>0</v>
      </c>
      <c r="G111" s="118">
        <f ca="1">IF(ROWS($1:98)&gt;COUNT(Dong1),"",IF(OFFSET(TH!N$1,SMALL(Dong1,ROWS($1:98)),)="1111",OFFSET(TH!M$1,SMALL(Dong1,ROWS($1:98)),),0))</f>
        <v>0</v>
      </c>
      <c r="H111" s="116">
        <f ca="1">IF(ROWS($1:98)&gt;COUNT(Dong1),"",IF(OFFSET(TH!O$1,SMALL(Dong1,ROWS($1:98)),)="1111",OFFSET(TH!M$1,SMALL(Dong1,ROWS($1:98)),),0))</f>
        <v>100000000</v>
      </c>
      <c r="I111" s="114">
        <f t="shared" ca="1" si="2"/>
        <v>1552964000</v>
      </c>
      <c r="J111" s="119"/>
    </row>
    <row r="112" spans="1:10" ht="19.5" customHeight="1">
      <c r="A112" s="113">
        <f ca="1">IF(ROWS($1:99)&gt;COUNT(Dong1),"",OFFSET(TH!C$1,SMALL(Dong1,ROWS($1:99)),))</f>
        <v>42688</v>
      </c>
      <c r="B112" s="113">
        <f ca="1">IF(ROWS($1:99)&gt;COUNT(Dong1),"",OFFSET(TH!E$1,SMALL(Dong1,ROWS($1:99)),))</f>
        <v>42688</v>
      </c>
      <c r="C112" s="114" t="str">
        <f ca="1">IF(ROWS($1:99)&gt;COUNT(Dong1),"",IF(OFFSET(TH!N$1,SMALL(Dong1,ROWS($1:99)),)="1111",OFFSET(TH!D$1,SMALL(Dong1,ROWS($1:99)),),""))</f>
        <v/>
      </c>
      <c r="D112" s="115" t="str">
        <f ca="1">IF(ROWS($1:99)&gt;COUNT(Dong1),"",IF(OFFSET(TH!O$1,SMALL(Dong1,ROWS($1:99)),)="1111",OFFSET(TH!D$1,SMALL(Dong1,ROWS($1:99)),),""))</f>
        <v>C82</v>
      </c>
      <c r="E112" s="166" t="str">
        <f ca="1">IF(ROWS($1:99)&gt;COUNT(Dong1),"",OFFSET(TH!F$1,SMALL(Dong1,ROWS($1:99)),))</f>
        <v>Chi kiểm Nafi</v>
      </c>
      <c r="F112" s="117">
        <f ca="1">IF(ROWS($1:99)&gt;COUNT(Dong1),"",IF(OFFSET(TH!O$1,SMALL(Dong1,ROWS($1:99)),)="1111",OFFSET(TH!N$1,SMALL(Dong1,ROWS($1:99)),),OFFSET(TH!O$1,SMALL(Dong1,ROWS($1:99)),)))</f>
        <v>0</v>
      </c>
      <c r="G112" s="118">
        <f ca="1">IF(ROWS($1:99)&gt;COUNT(Dong1),"",IF(OFFSET(TH!N$1,SMALL(Dong1,ROWS($1:99)),)="1111",OFFSET(TH!M$1,SMALL(Dong1,ROWS($1:99)),),0))</f>
        <v>0</v>
      </c>
      <c r="H112" s="116">
        <f ca="1">IF(ROWS($1:99)&gt;COUNT(Dong1),"",IF(OFFSET(TH!O$1,SMALL(Dong1,ROWS($1:99)),)="1111",OFFSET(TH!M$1,SMALL(Dong1,ROWS($1:99)),),0))</f>
        <v>500000</v>
      </c>
      <c r="I112" s="114">
        <f t="shared" ca="1" si="2"/>
        <v>1552464000</v>
      </c>
      <c r="J112" s="119"/>
    </row>
    <row r="113" spans="1:10" ht="19.5" customHeight="1">
      <c r="A113" s="113">
        <f ca="1">IF(ROWS($1:100)&gt;COUNT(Dong1),"",OFFSET(TH!C$1,SMALL(Dong1,ROWS($1:100)),))</f>
        <v>42688</v>
      </c>
      <c r="B113" s="113">
        <f ca="1">IF(ROWS($1:100)&gt;COUNT(Dong1),"",OFFSET(TH!E$1,SMALL(Dong1,ROWS($1:100)),))</f>
        <v>42688</v>
      </c>
      <c r="C113" s="114" t="str">
        <f ca="1">IF(ROWS($1:100)&gt;COUNT(Dong1),"",IF(OFFSET(TH!N$1,SMALL(Dong1,ROWS($1:100)),)="1111",OFFSET(TH!D$1,SMALL(Dong1,ROWS($1:100)),),""))</f>
        <v/>
      </c>
      <c r="D113" s="115" t="str">
        <f ca="1">IF(ROWS($1:100)&gt;COUNT(Dong1),"",IF(OFFSET(TH!O$1,SMALL(Dong1,ROWS($1:100)),)="1111",OFFSET(TH!D$1,SMALL(Dong1,ROWS($1:100)),),""))</f>
        <v>C83</v>
      </c>
      <c r="E113" s="166" t="str">
        <f ca="1">IF(ROWS($1:100)&gt;COUNT(Dong1),"",OFFSET(TH!F$1,SMALL(Dong1,ROWS($1:100)),))</f>
        <v>Mua bột nổi (Hớn Phong)</v>
      </c>
      <c r="F113" s="117">
        <f ca="1">IF(ROWS($1:100)&gt;COUNT(Dong1),"",IF(OFFSET(TH!O$1,SMALL(Dong1,ROWS($1:100)),)="1111",OFFSET(TH!N$1,SMALL(Dong1,ROWS($1:100)),),OFFSET(TH!O$1,SMALL(Dong1,ROWS($1:100)),)))</f>
        <v>0</v>
      </c>
      <c r="G113" s="118">
        <f ca="1">IF(ROWS($1:100)&gt;COUNT(Dong1),"",IF(OFFSET(TH!N$1,SMALL(Dong1,ROWS($1:100)),)="1111",OFFSET(TH!M$1,SMALL(Dong1,ROWS($1:100)),),0))</f>
        <v>0</v>
      </c>
      <c r="H113" s="116">
        <f ca="1">IF(ROWS($1:100)&gt;COUNT(Dong1),"",IF(OFFSET(TH!O$1,SMALL(Dong1,ROWS($1:100)),)="1111",OFFSET(TH!M$1,SMALL(Dong1,ROWS($1:100)),),0))</f>
        <v>285000</v>
      </c>
      <c r="I113" s="114">
        <f t="shared" ca="1" si="2"/>
        <v>1552179000</v>
      </c>
      <c r="J113" s="119"/>
    </row>
    <row r="114" spans="1:10" ht="19.5" customHeight="1">
      <c r="A114" s="113">
        <f ca="1">IF(ROWS($1:101)&gt;COUNT(Dong1),"",OFFSET(TH!C$1,SMALL(Dong1,ROWS($1:101)),))</f>
        <v>42688</v>
      </c>
      <c r="B114" s="113">
        <f ca="1">IF(ROWS($1:101)&gt;COUNT(Dong1),"",OFFSET(TH!E$1,SMALL(Dong1,ROWS($1:101)),))</f>
        <v>42688</v>
      </c>
      <c r="C114" s="114" t="str">
        <f ca="1">IF(ROWS($1:101)&gt;COUNT(Dong1),"",IF(OFFSET(TH!N$1,SMALL(Dong1,ROWS($1:101)),)="1111",OFFSET(TH!D$1,SMALL(Dong1,ROWS($1:101)),),""))</f>
        <v/>
      </c>
      <c r="D114" s="115" t="str">
        <f ca="1">IF(ROWS($1:101)&gt;COUNT(Dong1),"",IF(OFFSET(TH!O$1,SMALL(Dong1,ROWS($1:101)),)="1111",OFFSET(TH!D$1,SMALL(Dong1,ROWS($1:101)),),""))</f>
        <v>C84</v>
      </c>
      <c r="E114" s="166" t="str">
        <f ca="1">IF(ROWS($1:101)&gt;COUNT(Dong1),"",OFFSET(TH!F$1,SMALL(Dong1,ROWS($1:101)),))</f>
        <v>Chi mua mực làm mẫu</v>
      </c>
      <c r="F114" s="117">
        <f ca="1">IF(ROWS($1:101)&gt;COUNT(Dong1),"",IF(OFFSET(TH!O$1,SMALL(Dong1,ROWS($1:101)),)="1111",OFFSET(TH!N$1,SMALL(Dong1,ROWS($1:101)),),OFFSET(TH!O$1,SMALL(Dong1,ROWS($1:101)),)))</f>
        <v>0</v>
      </c>
      <c r="G114" s="118">
        <f ca="1">IF(ROWS($1:101)&gt;COUNT(Dong1),"",IF(OFFSET(TH!N$1,SMALL(Dong1,ROWS($1:101)),)="1111",OFFSET(TH!M$1,SMALL(Dong1,ROWS($1:101)),),0))</f>
        <v>0</v>
      </c>
      <c r="H114" s="116">
        <f ca="1">IF(ROWS($1:101)&gt;COUNT(Dong1),"",IF(OFFSET(TH!O$1,SMALL(Dong1,ROWS($1:101)),)="1111",OFFSET(TH!M$1,SMALL(Dong1,ROWS($1:101)),),0))</f>
        <v>825000</v>
      </c>
      <c r="I114" s="114">
        <f t="shared" ca="1" si="2"/>
        <v>1551354000</v>
      </c>
      <c r="J114" s="119"/>
    </row>
    <row r="115" spans="1:10" ht="19.5" customHeight="1">
      <c r="A115" s="113">
        <f ca="1">IF(ROWS($1:102)&gt;COUNT(Dong1),"",OFFSET(TH!C$1,SMALL(Dong1,ROWS($1:102)),))</f>
        <v>42688</v>
      </c>
      <c r="B115" s="113">
        <f ca="1">IF(ROWS($1:102)&gt;COUNT(Dong1),"",OFFSET(TH!E$1,SMALL(Dong1,ROWS($1:102)),))</f>
        <v>42688</v>
      </c>
      <c r="C115" s="114" t="str">
        <f ca="1">IF(ROWS($1:102)&gt;COUNT(Dong1),"",IF(OFFSET(TH!N$1,SMALL(Dong1,ROWS($1:102)),)="1111",OFFSET(TH!D$1,SMALL(Dong1,ROWS($1:102)),),""))</f>
        <v/>
      </c>
      <c r="D115" s="115" t="str">
        <f ca="1">IF(ROWS($1:102)&gt;COUNT(Dong1),"",IF(OFFSET(TH!O$1,SMALL(Dong1,ROWS($1:102)),)="1111",OFFSET(TH!D$1,SMALL(Dong1,ROWS($1:102)),),""))</f>
        <v>C85</v>
      </c>
      <c r="E115" s="166" t="str">
        <f ca="1">IF(ROWS($1:102)&gt;COUNT(Dong1),"",OFFSET(TH!F$1,SMALL(Dong1,ROWS($1:102)),))</f>
        <v>Chi phí - A.Duy</v>
      </c>
      <c r="F115" s="117">
        <f ca="1">IF(ROWS($1:102)&gt;COUNT(Dong1),"",IF(OFFSET(TH!O$1,SMALL(Dong1,ROWS($1:102)),)="1111",OFFSET(TH!N$1,SMALL(Dong1,ROWS($1:102)),),OFFSET(TH!O$1,SMALL(Dong1,ROWS($1:102)),)))</f>
        <v>0</v>
      </c>
      <c r="G115" s="118">
        <f ca="1">IF(ROWS($1:102)&gt;COUNT(Dong1),"",IF(OFFSET(TH!N$1,SMALL(Dong1,ROWS($1:102)),)="1111",OFFSET(TH!M$1,SMALL(Dong1,ROWS($1:102)),),0))</f>
        <v>0</v>
      </c>
      <c r="H115" s="116">
        <f ca="1">IF(ROWS($1:102)&gt;COUNT(Dong1),"",IF(OFFSET(TH!O$1,SMALL(Dong1,ROWS($1:102)),)="1111",OFFSET(TH!M$1,SMALL(Dong1,ROWS($1:102)),),0))</f>
        <v>2150000</v>
      </c>
      <c r="I115" s="114">
        <f t="shared" ca="1" si="2"/>
        <v>1549204000</v>
      </c>
      <c r="J115" s="119"/>
    </row>
    <row r="116" spans="1:10" ht="19.5" customHeight="1">
      <c r="A116" s="113">
        <f ca="1">IF(ROWS($1:103)&gt;COUNT(Dong1),"",OFFSET(TH!C$1,SMALL(Dong1,ROWS($1:103)),))</f>
        <v>42688</v>
      </c>
      <c r="B116" s="113">
        <f ca="1">IF(ROWS($1:103)&gt;COUNT(Dong1),"",OFFSET(TH!E$1,SMALL(Dong1,ROWS($1:103)),))</f>
        <v>42688</v>
      </c>
      <c r="C116" s="114" t="str">
        <f ca="1">IF(ROWS($1:103)&gt;COUNT(Dong1),"",IF(OFFSET(TH!N$1,SMALL(Dong1,ROWS($1:103)),)="1111",OFFSET(TH!D$1,SMALL(Dong1,ROWS($1:103)),),""))</f>
        <v/>
      </c>
      <c r="D116" s="115" t="str">
        <f ca="1">IF(ROWS($1:103)&gt;COUNT(Dong1),"",IF(OFFSET(TH!O$1,SMALL(Dong1,ROWS($1:103)),)="1111",OFFSET(TH!D$1,SMALL(Dong1,ROWS($1:103)),),""))</f>
        <v>C86</v>
      </c>
      <c r="E116" s="166" t="str">
        <f ca="1">IF(ROWS($1:103)&gt;COUNT(Dong1),"",OFFSET(TH!F$1,SMALL(Dong1,ROWS($1:103)),))</f>
        <v>Tiền chợ nhà</v>
      </c>
      <c r="F116" s="117">
        <f ca="1">IF(ROWS($1:103)&gt;COUNT(Dong1),"",IF(OFFSET(TH!O$1,SMALL(Dong1,ROWS($1:103)),)="1111",OFFSET(TH!N$1,SMALL(Dong1,ROWS($1:103)),),OFFSET(TH!O$1,SMALL(Dong1,ROWS($1:103)),)))</f>
        <v>0</v>
      </c>
      <c r="G116" s="118">
        <f ca="1">IF(ROWS($1:103)&gt;COUNT(Dong1),"",IF(OFFSET(TH!N$1,SMALL(Dong1,ROWS($1:103)),)="1111",OFFSET(TH!M$1,SMALL(Dong1,ROWS($1:103)),),0))</f>
        <v>0</v>
      </c>
      <c r="H116" s="116">
        <f ca="1">IF(ROWS($1:103)&gt;COUNT(Dong1),"",IF(OFFSET(TH!O$1,SMALL(Dong1,ROWS($1:103)),)="1111",OFFSET(TH!M$1,SMALL(Dong1,ROWS($1:103)),),0))</f>
        <v>500000</v>
      </c>
      <c r="I116" s="114">
        <f t="shared" ca="1" si="2"/>
        <v>1548704000</v>
      </c>
      <c r="J116" s="119"/>
    </row>
    <row r="117" spans="1:10" ht="19.5" customHeight="1">
      <c r="A117" s="113">
        <f ca="1">IF(ROWS($1:104)&gt;COUNT(Dong1),"",OFFSET(TH!C$1,SMALL(Dong1,ROWS($1:104)),))</f>
        <v>42688</v>
      </c>
      <c r="B117" s="113">
        <f ca="1">IF(ROWS($1:104)&gt;COUNT(Dong1),"",OFFSET(TH!E$1,SMALL(Dong1,ROWS($1:104)),))</f>
        <v>42688</v>
      </c>
      <c r="C117" s="114" t="str">
        <f ca="1">IF(ROWS($1:104)&gt;COUNT(Dong1),"",IF(OFFSET(TH!N$1,SMALL(Dong1,ROWS($1:104)),)="1111",OFFSET(TH!D$1,SMALL(Dong1,ROWS($1:104)),),""))</f>
        <v/>
      </c>
      <c r="D117" s="115" t="str">
        <f ca="1">IF(ROWS($1:104)&gt;COUNT(Dong1),"",IF(OFFSET(TH!O$1,SMALL(Dong1,ROWS($1:104)),)="1111",OFFSET(TH!D$1,SMALL(Dong1,ROWS($1:104)),),""))</f>
        <v>C87</v>
      </c>
      <c r="E117" s="166" t="str">
        <f ca="1">IF(ROWS($1:104)&gt;COUNT(Dong1),"",OFFSET(TH!F$1,SMALL(Dong1,ROWS($1:104)),))</f>
        <v>T/ứng mua phim lọc (Hiền)</v>
      </c>
      <c r="F117" s="117">
        <f ca="1">IF(ROWS($1:104)&gt;COUNT(Dong1),"",IF(OFFSET(TH!O$1,SMALL(Dong1,ROWS($1:104)),)="1111",OFFSET(TH!N$1,SMALL(Dong1,ROWS($1:104)),),OFFSET(TH!O$1,SMALL(Dong1,ROWS($1:104)),)))</f>
        <v>0</v>
      </c>
      <c r="G117" s="118">
        <f ca="1">IF(ROWS($1:104)&gt;COUNT(Dong1),"",IF(OFFSET(TH!N$1,SMALL(Dong1,ROWS($1:104)),)="1111",OFFSET(TH!M$1,SMALL(Dong1,ROWS($1:104)),),0))</f>
        <v>0</v>
      </c>
      <c r="H117" s="116">
        <f ca="1">IF(ROWS($1:104)&gt;COUNT(Dong1),"",IF(OFFSET(TH!O$1,SMALL(Dong1,ROWS($1:104)),)="1111",OFFSET(TH!M$1,SMALL(Dong1,ROWS($1:104)),),0))</f>
        <v>500000</v>
      </c>
      <c r="I117" s="114">
        <f t="shared" ca="1" si="2"/>
        <v>1548204000</v>
      </c>
      <c r="J117" s="119"/>
    </row>
    <row r="118" spans="1:10" ht="19.5" customHeight="1">
      <c r="A118" s="113">
        <f ca="1">IF(ROWS($1:105)&gt;COUNT(Dong1),"",OFFSET(TH!C$1,SMALL(Dong1,ROWS($1:105)),))</f>
        <v>42689</v>
      </c>
      <c r="B118" s="113">
        <f ca="1">IF(ROWS($1:105)&gt;COUNT(Dong1),"",OFFSET(TH!E$1,SMALL(Dong1,ROWS($1:105)),))</f>
        <v>42689</v>
      </c>
      <c r="C118" s="114" t="str">
        <f ca="1">IF(ROWS($1:105)&gt;COUNT(Dong1),"",IF(OFFSET(TH!N$1,SMALL(Dong1,ROWS($1:105)),)="1111",OFFSET(TH!D$1,SMALL(Dong1,ROWS($1:105)),),""))</f>
        <v/>
      </c>
      <c r="D118" s="115" t="str">
        <f ca="1">IF(ROWS($1:105)&gt;COUNT(Dong1),"",IF(OFFSET(TH!O$1,SMALL(Dong1,ROWS($1:105)),)="1111",OFFSET(TH!D$1,SMALL(Dong1,ROWS($1:105)),),""))</f>
        <v>C88</v>
      </c>
      <c r="E118" s="166" t="str">
        <f ca="1">IF(ROWS($1:105)&gt;COUNT(Dong1),"",OFFSET(TH!F$1,SMALL(Dong1,ROWS($1:105)),))</f>
        <v>Trả tiền cá</v>
      </c>
      <c r="F118" s="117" t="str">
        <f ca="1">IF(ROWS($1:105)&gt;COUNT(Dong1),"",IF(OFFSET(TH!O$1,SMALL(Dong1,ROWS($1:105)),)="1111",OFFSET(TH!N$1,SMALL(Dong1,ROWS($1:105)),),OFFSET(TH!O$1,SMALL(Dong1,ROWS($1:105)),)))</f>
        <v>331</v>
      </c>
      <c r="G118" s="118">
        <f ca="1">IF(ROWS($1:105)&gt;COUNT(Dong1),"",IF(OFFSET(TH!N$1,SMALL(Dong1,ROWS($1:105)),)="1111",OFFSET(TH!M$1,SMALL(Dong1,ROWS($1:105)),),0))</f>
        <v>0</v>
      </c>
      <c r="H118" s="116">
        <f ca="1">IF(ROWS($1:105)&gt;COUNT(Dong1),"",IF(OFFSET(TH!O$1,SMALL(Dong1,ROWS($1:105)),)="1111",OFFSET(TH!M$1,SMALL(Dong1,ROWS($1:105)),),0))</f>
        <v>150000000</v>
      </c>
      <c r="I118" s="114">
        <f t="shared" ca="1" si="2"/>
        <v>1398204000</v>
      </c>
      <c r="J118" s="119"/>
    </row>
    <row r="119" spans="1:10" ht="19.5" customHeight="1">
      <c r="A119" s="113">
        <f ca="1">IF(ROWS($1:106)&gt;COUNT(Dong1),"",OFFSET(TH!C$1,SMALL(Dong1,ROWS($1:106)),))</f>
        <v>42689</v>
      </c>
      <c r="B119" s="113">
        <f ca="1">IF(ROWS($1:106)&gt;COUNT(Dong1),"",OFFSET(TH!E$1,SMALL(Dong1,ROWS($1:106)),))</f>
        <v>42689</v>
      </c>
      <c r="C119" s="114" t="str">
        <f ca="1">IF(ROWS($1:106)&gt;COUNT(Dong1),"",IF(OFFSET(TH!N$1,SMALL(Dong1,ROWS($1:106)),)="1111",OFFSET(TH!D$1,SMALL(Dong1,ROWS($1:106)),),""))</f>
        <v/>
      </c>
      <c r="D119" s="115" t="str">
        <f ca="1">IF(ROWS($1:106)&gt;COUNT(Dong1),"",IF(OFFSET(TH!O$1,SMALL(Dong1,ROWS($1:106)),)="1111",OFFSET(TH!D$1,SMALL(Dong1,ROWS($1:106)),),""))</f>
        <v>C89</v>
      </c>
      <c r="E119" s="166" t="str">
        <f ca="1">IF(ROWS($1:106)&gt;COUNT(Dong1),"",OFFSET(TH!F$1,SMALL(Dong1,ROWS($1:106)),))</f>
        <v>Trả tiền cá</v>
      </c>
      <c r="F119" s="117" t="str">
        <f ca="1">IF(ROWS($1:106)&gt;COUNT(Dong1),"",IF(OFFSET(TH!O$1,SMALL(Dong1,ROWS($1:106)),)="1111",OFFSET(TH!N$1,SMALL(Dong1,ROWS($1:106)),),OFFSET(TH!O$1,SMALL(Dong1,ROWS($1:106)),)))</f>
        <v>331</v>
      </c>
      <c r="G119" s="118">
        <f ca="1">IF(ROWS($1:106)&gt;COUNT(Dong1),"",IF(OFFSET(TH!N$1,SMALL(Dong1,ROWS($1:106)),)="1111",OFFSET(TH!M$1,SMALL(Dong1,ROWS($1:106)),),0))</f>
        <v>0</v>
      </c>
      <c r="H119" s="116">
        <f ca="1">IF(ROWS($1:106)&gt;COUNT(Dong1),"",IF(OFFSET(TH!O$1,SMALL(Dong1,ROWS($1:106)),)="1111",OFFSET(TH!M$1,SMALL(Dong1,ROWS($1:106)),),0))</f>
        <v>200000000</v>
      </c>
      <c r="I119" s="114">
        <f t="shared" ca="1" si="2"/>
        <v>1198204000</v>
      </c>
      <c r="J119" s="119"/>
    </row>
    <row r="120" spans="1:10" ht="19.5" customHeight="1">
      <c r="A120" s="113">
        <f ca="1">IF(ROWS($1:107)&gt;COUNT(Dong1),"",OFFSET(TH!C$1,SMALL(Dong1,ROWS($1:107)),))</f>
        <v>42689</v>
      </c>
      <c r="B120" s="113">
        <f ca="1">IF(ROWS($1:107)&gt;COUNT(Dong1),"",OFFSET(TH!E$1,SMALL(Dong1,ROWS($1:107)),))</f>
        <v>42689</v>
      </c>
      <c r="C120" s="114" t="str">
        <f ca="1">IF(ROWS($1:107)&gt;COUNT(Dong1),"",IF(OFFSET(TH!N$1,SMALL(Dong1,ROWS($1:107)),)="1111",OFFSET(TH!D$1,SMALL(Dong1,ROWS($1:107)),),""))</f>
        <v/>
      </c>
      <c r="D120" s="115" t="str">
        <f ca="1">IF(ROWS($1:107)&gt;COUNT(Dong1),"",IF(OFFSET(TH!O$1,SMALL(Dong1,ROWS($1:107)),)="1111",OFFSET(TH!D$1,SMALL(Dong1,ROWS($1:107)),),""))</f>
        <v>C89</v>
      </c>
      <c r="E120" s="166" t="str">
        <f ca="1">IF(ROWS($1:107)&gt;COUNT(Dong1),"",OFFSET(TH!F$1,SMALL(Dong1,ROWS($1:107)),))</f>
        <v>Phí chuyển tiền</v>
      </c>
      <c r="F120" s="117">
        <f ca="1">IF(ROWS($1:107)&gt;COUNT(Dong1),"",IF(OFFSET(TH!O$1,SMALL(Dong1,ROWS($1:107)),)="1111",OFFSET(TH!N$1,SMALL(Dong1,ROWS($1:107)),),OFFSET(TH!O$1,SMALL(Dong1,ROWS($1:107)),)))</f>
        <v>0</v>
      </c>
      <c r="G120" s="118">
        <f ca="1">IF(ROWS($1:107)&gt;COUNT(Dong1),"",IF(OFFSET(TH!N$1,SMALL(Dong1,ROWS($1:107)),)="1111",OFFSET(TH!M$1,SMALL(Dong1,ROWS($1:107)),),0))</f>
        <v>0</v>
      </c>
      <c r="H120" s="116">
        <f ca="1">IF(ROWS($1:107)&gt;COUNT(Dong1),"",IF(OFFSET(TH!O$1,SMALL(Dong1,ROWS($1:107)),)="1111",OFFSET(TH!M$1,SMALL(Dong1,ROWS($1:107)),),0))</f>
        <v>66000</v>
      </c>
      <c r="I120" s="114">
        <f t="shared" ca="1" si="2"/>
        <v>1198138000</v>
      </c>
      <c r="J120" s="119"/>
    </row>
    <row r="121" spans="1:10" ht="19.5" customHeight="1">
      <c r="A121" s="113">
        <f ca="1">IF(ROWS($1:108)&gt;COUNT(Dong1),"",OFFSET(TH!C$1,SMALL(Dong1,ROWS($1:108)),))</f>
        <v>42689</v>
      </c>
      <c r="B121" s="113">
        <f ca="1">IF(ROWS($1:108)&gt;COUNT(Dong1),"",OFFSET(TH!E$1,SMALL(Dong1,ROWS($1:108)),))</f>
        <v>42689</v>
      </c>
      <c r="C121" s="114" t="str">
        <f ca="1">IF(ROWS($1:108)&gt;COUNT(Dong1),"",IF(OFFSET(TH!N$1,SMALL(Dong1,ROWS($1:108)),)="1111",OFFSET(TH!D$1,SMALL(Dong1,ROWS($1:108)),),""))</f>
        <v/>
      </c>
      <c r="D121" s="115" t="str">
        <f ca="1">IF(ROWS($1:108)&gt;COUNT(Dong1),"",IF(OFFSET(TH!O$1,SMALL(Dong1,ROWS($1:108)),)="1111",OFFSET(TH!D$1,SMALL(Dong1,ROWS($1:108)),),""))</f>
        <v>C90</v>
      </c>
      <c r="E121" s="166" t="str">
        <f ca="1">IF(ROWS($1:108)&gt;COUNT(Dong1),"",OFFSET(TH!F$1,SMALL(Dong1,ROWS($1:108)),))</f>
        <v>Trả tiền cá</v>
      </c>
      <c r="F121" s="117" t="str">
        <f ca="1">IF(ROWS($1:108)&gt;COUNT(Dong1),"",IF(OFFSET(TH!O$1,SMALL(Dong1,ROWS($1:108)),)="1111",OFFSET(TH!N$1,SMALL(Dong1,ROWS($1:108)),),OFFSET(TH!O$1,SMALL(Dong1,ROWS($1:108)),)))</f>
        <v>331</v>
      </c>
      <c r="G121" s="118">
        <f ca="1">IF(ROWS($1:108)&gt;COUNT(Dong1),"",IF(OFFSET(TH!N$1,SMALL(Dong1,ROWS($1:108)),)="1111",OFFSET(TH!M$1,SMALL(Dong1,ROWS($1:108)),),0))</f>
        <v>0</v>
      </c>
      <c r="H121" s="116">
        <f ca="1">IF(ROWS($1:108)&gt;COUNT(Dong1),"",IF(OFFSET(TH!O$1,SMALL(Dong1,ROWS($1:108)),)="1111",OFFSET(TH!M$1,SMALL(Dong1,ROWS($1:108)),),0))</f>
        <v>150000000</v>
      </c>
      <c r="I121" s="114">
        <f t="shared" ca="1" si="2"/>
        <v>1048138000</v>
      </c>
      <c r="J121" s="119"/>
    </row>
    <row r="122" spans="1:10" ht="19.5" customHeight="1">
      <c r="A122" s="113">
        <f ca="1">IF(ROWS($1:109)&gt;COUNT(Dong1),"",OFFSET(TH!C$1,SMALL(Dong1,ROWS($1:109)),))</f>
        <v>42689</v>
      </c>
      <c r="B122" s="113">
        <f ca="1">IF(ROWS($1:109)&gt;COUNT(Dong1),"",OFFSET(TH!E$1,SMALL(Dong1,ROWS($1:109)),))</f>
        <v>42689</v>
      </c>
      <c r="C122" s="114" t="str">
        <f ca="1">IF(ROWS($1:109)&gt;COUNT(Dong1),"",IF(OFFSET(TH!N$1,SMALL(Dong1,ROWS($1:109)),)="1111",OFFSET(TH!D$1,SMALL(Dong1,ROWS($1:109)),),""))</f>
        <v/>
      </c>
      <c r="D122" s="115" t="str">
        <f ca="1">IF(ROWS($1:109)&gt;COUNT(Dong1),"",IF(OFFSET(TH!O$1,SMALL(Dong1,ROWS($1:109)),)="1111",OFFSET(TH!D$1,SMALL(Dong1,ROWS($1:109)),),""))</f>
        <v>C91</v>
      </c>
      <c r="E122" s="166" t="str">
        <f ca="1">IF(ROWS($1:109)&gt;COUNT(Dong1),"",OFFSET(TH!F$1,SMALL(Dong1,ROWS($1:109)),))</f>
        <v>Trả tiền cá</v>
      </c>
      <c r="F122" s="117" t="str">
        <f ca="1">IF(ROWS($1:109)&gt;COUNT(Dong1),"",IF(OFFSET(TH!O$1,SMALL(Dong1,ROWS($1:109)),)="1111",OFFSET(TH!N$1,SMALL(Dong1,ROWS($1:109)),),OFFSET(TH!O$1,SMALL(Dong1,ROWS($1:109)),)))</f>
        <v>331</v>
      </c>
      <c r="G122" s="118">
        <f ca="1">IF(ROWS($1:109)&gt;COUNT(Dong1),"",IF(OFFSET(TH!N$1,SMALL(Dong1,ROWS($1:109)),)="1111",OFFSET(TH!M$1,SMALL(Dong1,ROWS($1:109)),),0))</f>
        <v>0</v>
      </c>
      <c r="H122" s="116">
        <f ca="1">IF(ROWS($1:109)&gt;COUNT(Dong1),"",IF(OFFSET(TH!O$1,SMALL(Dong1,ROWS($1:109)),)="1111",OFFSET(TH!M$1,SMALL(Dong1,ROWS($1:109)),),0))</f>
        <v>122974000</v>
      </c>
      <c r="I122" s="114">
        <f t="shared" ca="1" si="2"/>
        <v>925164000</v>
      </c>
      <c r="J122" s="119"/>
    </row>
    <row r="123" spans="1:10" ht="19.5" customHeight="1">
      <c r="A123" s="113">
        <f ca="1">IF(ROWS($1:110)&gt;COUNT(Dong1),"",OFFSET(TH!C$1,SMALL(Dong1,ROWS($1:110)),))</f>
        <v>42689</v>
      </c>
      <c r="B123" s="113">
        <f ca="1">IF(ROWS($1:110)&gt;COUNT(Dong1),"",OFFSET(TH!E$1,SMALL(Dong1,ROWS($1:110)),))</f>
        <v>42689</v>
      </c>
      <c r="C123" s="114" t="str">
        <f ca="1">IF(ROWS($1:110)&gt;COUNT(Dong1),"",IF(OFFSET(TH!N$1,SMALL(Dong1,ROWS($1:110)),)="1111",OFFSET(TH!D$1,SMALL(Dong1,ROWS($1:110)),),""))</f>
        <v/>
      </c>
      <c r="D123" s="115" t="str">
        <f ca="1">IF(ROWS($1:110)&gt;COUNT(Dong1),"",IF(OFFSET(TH!O$1,SMALL(Dong1,ROWS($1:110)),)="1111",OFFSET(TH!D$1,SMALL(Dong1,ROWS($1:110)),),""))</f>
        <v>C92</v>
      </c>
      <c r="E123" s="166" t="str">
        <f ca="1">IF(ROWS($1:110)&gt;COUNT(Dong1),"",OFFSET(TH!F$1,SMALL(Dong1,ROWS($1:110)),))</f>
        <v>Trả tiền cá</v>
      </c>
      <c r="F123" s="117" t="str">
        <f ca="1">IF(ROWS($1:110)&gt;COUNT(Dong1),"",IF(OFFSET(TH!O$1,SMALL(Dong1,ROWS($1:110)),)="1111",OFFSET(TH!N$1,SMALL(Dong1,ROWS($1:110)),),OFFSET(TH!O$1,SMALL(Dong1,ROWS($1:110)),)))</f>
        <v>331</v>
      </c>
      <c r="G123" s="118">
        <f ca="1">IF(ROWS($1:110)&gt;COUNT(Dong1),"",IF(OFFSET(TH!N$1,SMALL(Dong1,ROWS($1:110)),)="1111",OFFSET(TH!M$1,SMALL(Dong1,ROWS($1:110)),),0))</f>
        <v>0</v>
      </c>
      <c r="H123" s="116">
        <f ca="1">IF(ROWS($1:110)&gt;COUNT(Dong1),"",IF(OFFSET(TH!O$1,SMALL(Dong1,ROWS($1:110)),)="1111",OFFSET(TH!M$1,SMALL(Dong1,ROWS($1:110)),),0))</f>
        <v>73792000</v>
      </c>
      <c r="I123" s="114">
        <f t="shared" ca="1" si="2"/>
        <v>851372000</v>
      </c>
      <c r="J123" s="119"/>
    </row>
    <row r="124" spans="1:10" ht="19.5" customHeight="1">
      <c r="A124" s="113">
        <f ca="1">IF(ROWS($1:111)&gt;COUNT(Dong1),"",OFFSET(TH!C$1,SMALL(Dong1,ROWS($1:111)),))</f>
        <v>42689</v>
      </c>
      <c r="B124" s="113">
        <f ca="1">IF(ROWS($1:111)&gt;COUNT(Dong1),"",OFFSET(TH!E$1,SMALL(Dong1,ROWS($1:111)),))</f>
        <v>42689</v>
      </c>
      <c r="C124" s="114" t="str">
        <f ca="1">IF(ROWS($1:111)&gt;COUNT(Dong1),"",IF(OFFSET(TH!N$1,SMALL(Dong1,ROWS($1:111)),)="1111",OFFSET(TH!D$1,SMALL(Dong1,ROWS($1:111)),),""))</f>
        <v/>
      </c>
      <c r="D124" s="115" t="str">
        <f ca="1">IF(ROWS($1:111)&gt;COUNT(Dong1),"",IF(OFFSET(TH!O$1,SMALL(Dong1,ROWS($1:111)),)="1111",OFFSET(TH!D$1,SMALL(Dong1,ROWS($1:111)),),""))</f>
        <v>C93</v>
      </c>
      <c r="E124" s="166" t="str">
        <f ca="1">IF(ROWS($1:111)&gt;COUNT(Dong1),"",OFFSET(TH!F$1,SMALL(Dong1,ROWS($1:111)),))</f>
        <v>Trả tiền cá</v>
      </c>
      <c r="F124" s="117" t="str">
        <f ca="1">IF(ROWS($1:111)&gt;COUNT(Dong1),"",IF(OFFSET(TH!O$1,SMALL(Dong1,ROWS($1:111)),)="1111",OFFSET(TH!N$1,SMALL(Dong1,ROWS($1:111)),),OFFSET(TH!O$1,SMALL(Dong1,ROWS($1:111)),)))</f>
        <v>331</v>
      </c>
      <c r="G124" s="118">
        <f ca="1">IF(ROWS($1:111)&gt;COUNT(Dong1),"",IF(OFFSET(TH!N$1,SMALL(Dong1,ROWS($1:111)),)="1111",OFFSET(TH!M$1,SMALL(Dong1,ROWS($1:111)),),0))</f>
        <v>0</v>
      </c>
      <c r="H124" s="116">
        <f ca="1">IF(ROWS($1:111)&gt;COUNT(Dong1),"",IF(OFFSET(TH!O$1,SMALL(Dong1,ROWS($1:111)),)="1111",OFFSET(TH!M$1,SMALL(Dong1,ROWS($1:111)),),0))</f>
        <v>100000000</v>
      </c>
      <c r="I124" s="114">
        <f t="shared" ca="1" si="2"/>
        <v>751372000</v>
      </c>
      <c r="J124" s="119"/>
    </row>
    <row r="125" spans="1:10" ht="19.5" customHeight="1">
      <c r="A125" s="113">
        <f ca="1">IF(ROWS($1:112)&gt;COUNT(Dong1),"",OFFSET(TH!C$1,SMALL(Dong1,ROWS($1:112)),))</f>
        <v>42689</v>
      </c>
      <c r="B125" s="113">
        <f ca="1">IF(ROWS($1:112)&gt;COUNT(Dong1),"",OFFSET(TH!E$1,SMALL(Dong1,ROWS($1:112)),))</f>
        <v>42689</v>
      </c>
      <c r="C125" s="114" t="str">
        <f ca="1">IF(ROWS($1:112)&gt;COUNT(Dong1),"",IF(OFFSET(TH!N$1,SMALL(Dong1,ROWS($1:112)),)="1111",OFFSET(TH!D$1,SMALL(Dong1,ROWS($1:112)),),""))</f>
        <v/>
      </c>
      <c r="D125" s="115" t="str">
        <f ca="1">IF(ROWS($1:112)&gt;COUNT(Dong1),"",IF(OFFSET(TH!O$1,SMALL(Dong1,ROWS($1:112)),)="1111",OFFSET(TH!D$1,SMALL(Dong1,ROWS($1:112)),),""))</f>
        <v>C94</v>
      </c>
      <c r="E125" s="166" t="str">
        <f ca="1">IF(ROWS($1:112)&gt;COUNT(Dong1),"",OFFSET(TH!F$1,SMALL(Dong1,ROWS($1:112)),))</f>
        <v>Trả tiền cá</v>
      </c>
      <c r="F125" s="117" t="str">
        <f ca="1">IF(ROWS($1:112)&gt;COUNT(Dong1),"",IF(OFFSET(TH!O$1,SMALL(Dong1,ROWS($1:112)),)="1111",OFFSET(TH!N$1,SMALL(Dong1,ROWS($1:112)),),OFFSET(TH!O$1,SMALL(Dong1,ROWS($1:112)),)))</f>
        <v>331</v>
      </c>
      <c r="G125" s="118">
        <f ca="1">IF(ROWS($1:112)&gt;COUNT(Dong1),"",IF(OFFSET(TH!N$1,SMALL(Dong1,ROWS($1:112)),)="1111",OFFSET(TH!M$1,SMALL(Dong1,ROWS($1:112)),),0))</f>
        <v>0</v>
      </c>
      <c r="H125" s="116">
        <f ca="1">IF(ROWS($1:112)&gt;COUNT(Dong1),"",IF(OFFSET(TH!O$1,SMALL(Dong1,ROWS($1:112)),)="1111",OFFSET(TH!M$1,SMALL(Dong1,ROWS($1:112)),),0))</f>
        <v>100000000</v>
      </c>
      <c r="I125" s="114">
        <f t="shared" ca="1" si="2"/>
        <v>651372000</v>
      </c>
      <c r="J125" s="119"/>
    </row>
    <row r="126" spans="1:10" ht="19.5" customHeight="1">
      <c r="A126" s="113">
        <f ca="1">IF(ROWS($1:113)&gt;COUNT(Dong1),"",OFFSET(TH!C$1,SMALL(Dong1,ROWS($1:113)),))</f>
        <v>42690</v>
      </c>
      <c r="B126" s="113">
        <f ca="1">IF(ROWS($1:113)&gt;COUNT(Dong1),"",OFFSET(TH!E$1,SMALL(Dong1,ROWS($1:113)),))</f>
        <v>42690</v>
      </c>
      <c r="C126" s="114" t="str">
        <f ca="1">IF(ROWS($1:113)&gt;COUNT(Dong1),"",IF(OFFSET(TH!N$1,SMALL(Dong1,ROWS($1:113)),)="1111",OFFSET(TH!D$1,SMALL(Dong1,ROWS($1:113)),),""))</f>
        <v>T16</v>
      </c>
      <c r="D126" s="115" t="str">
        <f ca="1">IF(ROWS($1:113)&gt;COUNT(Dong1),"",IF(OFFSET(TH!O$1,SMALL(Dong1,ROWS($1:113)),)="1111",OFFSET(TH!D$1,SMALL(Dong1,ROWS($1:113)),),""))</f>
        <v/>
      </c>
      <c r="E126" s="166" t="str">
        <f ca="1">IF(ROWS($1:113)&gt;COUNT(Dong1),"",OFFSET(TH!F$1,SMALL(Dong1,ROWS($1:113)),))</f>
        <v>Thu tiền Pvcombank</v>
      </c>
      <c r="F126" s="117">
        <f ca="1">IF(ROWS($1:113)&gt;COUNT(Dong1),"",IF(OFFSET(TH!O$1,SMALL(Dong1,ROWS($1:113)),)="1111",OFFSET(TH!N$1,SMALL(Dong1,ROWS($1:113)),),OFFSET(TH!O$1,SMALL(Dong1,ROWS($1:113)),)))</f>
        <v>0</v>
      </c>
      <c r="G126" s="118">
        <f ca="1">IF(ROWS($1:113)&gt;COUNT(Dong1),"",IF(OFFSET(TH!N$1,SMALL(Dong1,ROWS($1:113)),)="1111",OFFSET(TH!M$1,SMALL(Dong1,ROWS($1:113)),),0))</f>
        <v>3120000000</v>
      </c>
      <c r="H126" s="116">
        <f ca="1">IF(ROWS($1:113)&gt;COUNT(Dong1),"",IF(OFFSET(TH!O$1,SMALL(Dong1,ROWS($1:113)),)="1111",OFFSET(TH!M$1,SMALL(Dong1,ROWS($1:113)),),0))</f>
        <v>0</v>
      </c>
      <c r="I126" s="114">
        <f t="shared" ca="1" si="2"/>
        <v>3771372000</v>
      </c>
      <c r="J126" s="119"/>
    </row>
    <row r="127" spans="1:10" ht="19.5" customHeight="1">
      <c r="A127" s="113">
        <f ca="1">IF(ROWS($1:114)&gt;COUNT(Dong1),"",OFFSET(TH!C$1,SMALL(Dong1,ROWS($1:114)),))</f>
        <v>42690</v>
      </c>
      <c r="B127" s="113">
        <f ca="1">IF(ROWS($1:114)&gt;COUNT(Dong1),"",OFFSET(TH!E$1,SMALL(Dong1,ROWS($1:114)),))</f>
        <v>42690</v>
      </c>
      <c r="C127" s="114" t="str">
        <f ca="1">IF(ROWS($1:114)&gt;COUNT(Dong1),"",IF(OFFSET(TH!N$1,SMALL(Dong1,ROWS($1:114)),)="1111",OFFSET(TH!D$1,SMALL(Dong1,ROWS($1:114)),),""))</f>
        <v/>
      </c>
      <c r="D127" s="115" t="str">
        <f ca="1">IF(ROWS($1:114)&gt;COUNT(Dong1),"",IF(OFFSET(TH!O$1,SMALL(Dong1,ROWS($1:114)),)="1111",OFFSET(TH!D$1,SMALL(Dong1,ROWS($1:114)),),""))</f>
        <v>C95</v>
      </c>
      <c r="E127" s="166" t="str">
        <f ca="1">IF(ROWS($1:114)&gt;COUNT(Dong1),"",OFFSET(TH!F$1,SMALL(Dong1,ROWS($1:114)),))</f>
        <v>Chi tiền trà Vinh</v>
      </c>
      <c r="F127" s="117">
        <f ca="1">IF(ROWS($1:114)&gt;COUNT(Dong1),"",IF(OFFSET(TH!O$1,SMALL(Dong1,ROWS($1:114)),)="1111",OFFSET(TH!N$1,SMALL(Dong1,ROWS($1:114)),),OFFSET(TH!O$1,SMALL(Dong1,ROWS($1:114)),)))</f>
        <v>0</v>
      </c>
      <c r="G127" s="118">
        <f ca="1">IF(ROWS($1:114)&gt;COUNT(Dong1),"",IF(OFFSET(TH!N$1,SMALL(Dong1,ROWS($1:114)),)="1111",OFFSET(TH!M$1,SMALL(Dong1,ROWS($1:114)),),0))</f>
        <v>0</v>
      </c>
      <c r="H127" s="116">
        <f ca="1">IF(ROWS($1:114)&gt;COUNT(Dong1),"",IF(OFFSET(TH!O$1,SMALL(Dong1,ROWS($1:114)),)="1111",OFFSET(TH!M$1,SMALL(Dong1,ROWS($1:114)),),0))</f>
        <v>520000000</v>
      </c>
      <c r="I127" s="114">
        <f t="shared" ca="1" si="2"/>
        <v>3251372000</v>
      </c>
      <c r="J127" s="119"/>
    </row>
    <row r="128" spans="1:10" ht="19.5" customHeight="1">
      <c r="A128" s="113">
        <f ca="1">IF(ROWS($1:115)&gt;COUNT(Dong1),"",OFFSET(TH!C$1,SMALL(Dong1,ROWS($1:115)),))</f>
        <v>42690</v>
      </c>
      <c r="B128" s="113">
        <f ca="1">IF(ROWS($1:115)&gt;COUNT(Dong1),"",OFFSET(TH!E$1,SMALL(Dong1,ROWS($1:115)),))</f>
        <v>42690</v>
      </c>
      <c r="C128" s="114" t="str">
        <f ca="1">IF(ROWS($1:115)&gt;COUNT(Dong1),"",IF(OFFSET(TH!N$1,SMALL(Dong1,ROWS($1:115)),)="1111",OFFSET(TH!D$1,SMALL(Dong1,ROWS($1:115)),),""))</f>
        <v/>
      </c>
      <c r="D128" s="115" t="str">
        <f ca="1">IF(ROWS($1:115)&gt;COUNT(Dong1),"",IF(OFFSET(TH!O$1,SMALL(Dong1,ROWS($1:115)),)="1111",OFFSET(TH!D$1,SMALL(Dong1,ROWS($1:115)),),""))</f>
        <v>C96</v>
      </c>
      <c r="E128" s="166" t="str">
        <f ca="1">IF(ROWS($1:115)&gt;COUNT(Dong1),"",OFFSET(TH!F$1,SMALL(Dong1,ROWS($1:115)),))</f>
        <v>Nộp thuế GTGT bột</v>
      </c>
      <c r="F128" s="117">
        <f ca="1">IF(ROWS($1:115)&gt;COUNT(Dong1),"",IF(OFFSET(TH!O$1,SMALL(Dong1,ROWS($1:115)),)="1111",OFFSET(TH!N$1,SMALL(Dong1,ROWS($1:115)),),OFFSET(TH!O$1,SMALL(Dong1,ROWS($1:115)),)))</f>
        <v>0</v>
      </c>
      <c r="G128" s="118">
        <f ca="1">IF(ROWS($1:115)&gt;COUNT(Dong1),"",IF(OFFSET(TH!N$1,SMALL(Dong1,ROWS($1:115)),)="1111",OFFSET(TH!M$1,SMALL(Dong1,ROWS($1:115)),),0))</f>
        <v>0</v>
      </c>
      <c r="H128" s="116">
        <f ca="1">IF(ROWS($1:115)&gt;COUNT(Dong1),"",IF(OFFSET(TH!O$1,SMALL(Dong1,ROWS($1:115)),)="1111",OFFSET(TH!M$1,SMALL(Dong1,ROWS($1:115)),),0))</f>
        <v>10000000</v>
      </c>
      <c r="I128" s="114">
        <f t="shared" ca="1" si="2"/>
        <v>3241372000</v>
      </c>
      <c r="J128" s="119"/>
    </row>
    <row r="129" spans="1:10" ht="19.5" customHeight="1">
      <c r="A129" s="113">
        <f ca="1">IF(ROWS($1:116)&gt;COUNT(Dong1),"",OFFSET(TH!C$1,SMALL(Dong1,ROWS($1:116)),))</f>
        <v>42690</v>
      </c>
      <c r="B129" s="113">
        <f ca="1">IF(ROWS($1:116)&gt;COUNT(Dong1),"",OFFSET(TH!E$1,SMALL(Dong1,ROWS($1:116)),))</f>
        <v>42690</v>
      </c>
      <c r="C129" s="114" t="str">
        <f ca="1">IF(ROWS($1:116)&gt;COUNT(Dong1),"",IF(OFFSET(TH!N$1,SMALL(Dong1,ROWS($1:116)),)="1111",OFFSET(TH!D$1,SMALL(Dong1,ROWS($1:116)),),""))</f>
        <v/>
      </c>
      <c r="D129" s="115" t="str">
        <f ca="1">IF(ROWS($1:116)&gt;COUNT(Dong1),"",IF(OFFSET(TH!O$1,SMALL(Dong1,ROWS($1:116)),)="1111",OFFSET(TH!D$1,SMALL(Dong1,ROWS($1:116)),),""))</f>
        <v>C97</v>
      </c>
      <c r="E129" s="166" t="str">
        <f ca="1">IF(ROWS($1:116)&gt;COUNT(Dong1),"",OFFSET(TH!F$1,SMALL(Dong1,ROWS($1:116)),))</f>
        <v>Mua máy xay đa năng</v>
      </c>
      <c r="F129" s="117">
        <f ca="1">IF(ROWS($1:116)&gt;COUNT(Dong1),"",IF(OFFSET(TH!O$1,SMALL(Dong1,ROWS($1:116)),)="1111",OFFSET(TH!N$1,SMALL(Dong1,ROWS($1:116)),),OFFSET(TH!O$1,SMALL(Dong1,ROWS($1:116)),)))</f>
        <v>0</v>
      </c>
      <c r="G129" s="118">
        <f ca="1">IF(ROWS($1:116)&gt;COUNT(Dong1),"",IF(OFFSET(TH!N$1,SMALL(Dong1,ROWS($1:116)),)="1111",OFFSET(TH!M$1,SMALL(Dong1,ROWS($1:116)),),0))</f>
        <v>0</v>
      </c>
      <c r="H129" s="116">
        <f ca="1">IF(ROWS($1:116)&gt;COUNT(Dong1),"",IF(OFFSET(TH!O$1,SMALL(Dong1,ROWS($1:116)),)="1111",OFFSET(TH!M$1,SMALL(Dong1,ROWS($1:116)),),0))</f>
        <v>1290000</v>
      </c>
      <c r="I129" s="114">
        <f t="shared" ca="1" si="2"/>
        <v>3240082000</v>
      </c>
      <c r="J129" s="119"/>
    </row>
    <row r="130" spans="1:10" ht="19.5" customHeight="1">
      <c r="A130" s="113">
        <f ca="1">IF(ROWS($1:117)&gt;COUNT(Dong1),"",OFFSET(TH!C$1,SMALL(Dong1,ROWS($1:117)),))</f>
        <v>42690</v>
      </c>
      <c r="B130" s="113">
        <f ca="1">IF(ROWS($1:117)&gt;COUNT(Dong1),"",OFFSET(TH!E$1,SMALL(Dong1,ROWS($1:117)),))</f>
        <v>42690</v>
      </c>
      <c r="C130" s="114" t="str">
        <f ca="1">IF(ROWS($1:117)&gt;COUNT(Dong1),"",IF(OFFSET(TH!N$1,SMALL(Dong1,ROWS($1:117)),)="1111",OFFSET(TH!D$1,SMALL(Dong1,ROWS($1:117)),),""))</f>
        <v/>
      </c>
      <c r="D130" s="115" t="str">
        <f ca="1">IF(ROWS($1:117)&gt;COUNT(Dong1),"",IF(OFFSET(TH!O$1,SMALL(Dong1,ROWS($1:117)),)="1111",OFFSET(TH!D$1,SMALL(Dong1,ROWS($1:117)),),""))</f>
        <v>C98</v>
      </c>
      <c r="E130" s="166" t="str">
        <f ca="1">IF(ROWS($1:117)&gt;COUNT(Dong1),"",OFFSET(TH!F$1,SMALL(Dong1,ROWS($1:117)),))</f>
        <v>Mua đồ cúng</v>
      </c>
      <c r="F130" s="117">
        <f ca="1">IF(ROWS($1:117)&gt;COUNT(Dong1),"",IF(OFFSET(TH!O$1,SMALL(Dong1,ROWS($1:117)),)="1111",OFFSET(TH!N$1,SMALL(Dong1,ROWS($1:117)),),OFFSET(TH!O$1,SMALL(Dong1,ROWS($1:117)),)))</f>
        <v>0</v>
      </c>
      <c r="G130" s="118">
        <f ca="1">IF(ROWS($1:117)&gt;COUNT(Dong1),"",IF(OFFSET(TH!N$1,SMALL(Dong1,ROWS($1:117)),)="1111",OFFSET(TH!M$1,SMALL(Dong1,ROWS($1:117)),),0))</f>
        <v>0</v>
      </c>
      <c r="H130" s="116">
        <f ca="1">IF(ROWS($1:117)&gt;COUNT(Dong1),"",IF(OFFSET(TH!O$1,SMALL(Dong1,ROWS($1:117)),)="1111",OFFSET(TH!M$1,SMALL(Dong1,ROWS($1:117)),),0))</f>
        <v>309000</v>
      </c>
      <c r="I130" s="114">
        <f t="shared" ca="1" si="2"/>
        <v>3239773000</v>
      </c>
      <c r="J130" s="119"/>
    </row>
    <row r="131" spans="1:10" ht="19.5" customHeight="1">
      <c r="A131" s="113">
        <f ca="1">IF(ROWS($1:118)&gt;COUNT(Dong1),"",OFFSET(TH!C$1,SMALL(Dong1,ROWS($1:118)),))</f>
        <v>42690</v>
      </c>
      <c r="B131" s="113">
        <f ca="1">IF(ROWS($1:118)&gt;COUNT(Dong1),"",OFFSET(TH!E$1,SMALL(Dong1,ROWS($1:118)),))</f>
        <v>42690</v>
      </c>
      <c r="C131" s="114" t="str">
        <f ca="1">IF(ROWS($1:118)&gt;COUNT(Dong1),"",IF(OFFSET(TH!N$1,SMALL(Dong1,ROWS($1:118)),)="1111",OFFSET(TH!D$1,SMALL(Dong1,ROWS($1:118)),),""))</f>
        <v>T17</v>
      </c>
      <c r="D131" s="115" t="str">
        <f ca="1">IF(ROWS($1:118)&gt;COUNT(Dong1),"",IF(OFFSET(TH!O$1,SMALL(Dong1,ROWS($1:118)),)="1111",OFFSET(TH!D$1,SMALL(Dong1,ROWS($1:118)),),""))</f>
        <v/>
      </c>
      <c r="E131" s="166" t="str">
        <f ca="1">IF(ROWS($1:118)&gt;COUNT(Dong1),"",OFFSET(TH!F$1,SMALL(Dong1,ROWS($1:118)),))</f>
        <v>Thu tiền Q11</v>
      </c>
      <c r="F131" s="117">
        <f ca="1">IF(ROWS($1:118)&gt;COUNT(Dong1),"",IF(OFFSET(TH!O$1,SMALL(Dong1,ROWS($1:118)),)="1111",OFFSET(TH!N$1,SMALL(Dong1,ROWS($1:118)),),OFFSET(TH!O$1,SMALL(Dong1,ROWS($1:118)),)))</f>
        <v>0</v>
      </c>
      <c r="G131" s="118">
        <f ca="1">IF(ROWS($1:118)&gt;COUNT(Dong1),"",IF(OFFSET(TH!N$1,SMALL(Dong1,ROWS($1:118)),)="1111",OFFSET(TH!M$1,SMALL(Dong1,ROWS($1:118)),),0))</f>
        <v>250000000</v>
      </c>
      <c r="H131" s="116">
        <f ca="1">IF(ROWS($1:118)&gt;COUNT(Dong1),"",IF(OFFSET(TH!O$1,SMALL(Dong1,ROWS($1:118)),)="1111",OFFSET(TH!M$1,SMALL(Dong1,ROWS($1:118)),),0))</f>
        <v>0</v>
      </c>
      <c r="I131" s="114">
        <f t="shared" ca="1" si="2"/>
        <v>3489773000</v>
      </c>
      <c r="J131" s="119"/>
    </row>
    <row r="132" spans="1:10" ht="19.5" customHeight="1">
      <c r="A132" s="113">
        <f ca="1">IF(ROWS($1:119)&gt;COUNT(Dong1),"",OFFSET(TH!C$1,SMALL(Dong1,ROWS($1:119)),))</f>
        <v>42690</v>
      </c>
      <c r="B132" s="113">
        <f ca="1">IF(ROWS($1:119)&gt;COUNT(Dong1),"",OFFSET(TH!E$1,SMALL(Dong1,ROWS($1:119)),))</f>
        <v>42690</v>
      </c>
      <c r="C132" s="114" t="str">
        <f ca="1">IF(ROWS($1:119)&gt;COUNT(Dong1),"",IF(OFFSET(TH!N$1,SMALL(Dong1,ROWS($1:119)),)="1111",OFFSET(TH!D$1,SMALL(Dong1,ROWS($1:119)),),""))</f>
        <v/>
      </c>
      <c r="D132" s="115" t="str">
        <f ca="1">IF(ROWS($1:119)&gt;COUNT(Dong1),"",IF(OFFSET(TH!O$1,SMALL(Dong1,ROWS($1:119)),)="1111",OFFSET(TH!D$1,SMALL(Dong1,ROWS($1:119)),),""))</f>
        <v>C99</v>
      </c>
      <c r="E132" s="166" t="str">
        <f ca="1">IF(ROWS($1:119)&gt;COUNT(Dong1),"",OFFSET(TH!F$1,SMALL(Dong1,ROWS($1:119)),))</f>
        <v>Chi tiền Trung Quốc</v>
      </c>
      <c r="F132" s="117">
        <f ca="1">IF(ROWS($1:119)&gt;COUNT(Dong1),"",IF(OFFSET(TH!O$1,SMALL(Dong1,ROWS($1:119)),)="1111",OFFSET(TH!N$1,SMALL(Dong1,ROWS($1:119)),),OFFSET(TH!O$1,SMALL(Dong1,ROWS($1:119)),)))</f>
        <v>0</v>
      </c>
      <c r="G132" s="118">
        <f ca="1">IF(ROWS($1:119)&gt;COUNT(Dong1),"",IF(OFFSET(TH!N$1,SMALL(Dong1,ROWS($1:119)),)="1111",OFFSET(TH!M$1,SMALL(Dong1,ROWS($1:119)),),0))</f>
        <v>0</v>
      </c>
      <c r="H132" s="116">
        <f ca="1">IF(ROWS($1:119)&gt;COUNT(Dong1),"",IF(OFFSET(TH!O$1,SMALL(Dong1,ROWS($1:119)),)="1111",OFFSET(TH!M$1,SMALL(Dong1,ROWS($1:119)),),0))</f>
        <v>3240938000</v>
      </c>
      <c r="I132" s="114">
        <f t="shared" ca="1" si="2"/>
        <v>248835000</v>
      </c>
      <c r="J132" s="119"/>
    </row>
    <row r="133" spans="1:10" ht="19.5" customHeight="1">
      <c r="A133" s="113">
        <f ca="1">IF(ROWS($1:120)&gt;COUNT(Dong1),"",OFFSET(TH!C$1,SMALL(Dong1,ROWS($1:120)),))</f>
        <v>42690</v>
      </c>
      <c r="B133" s="113">
        <f ca="1">IF(ROWS($1:120)&gt;COUNT(Dong1),"",OFFSET(TH!E$1,SMALL(Dong1,ROWS($1:120)),))</f>
        <v>42690</v>
      </c>
      <c r="C133" s="114" t="str">
        <f ca="1">IF(ROWS($1:120)&gt;COUNT(Dong1),"",IF(OFFSET(TH!N$1,SMALL(Dong1,ROWS($1:120)),)="1111",OFFSET(TH!D$1,SMALL(Dong1,ROWS($1:120)),),""))</f>
        <v>T18</v>
      </c>
      <c r="D133" s="115" t="str">
        <f ca="1">IF(ROWS($1:120)&gt;COUNT(Dong1),"",IF(OFFSET(TH!O$1,SMALL(Dong1,ROWS($1:120)),)="1111",OFFSET(TH!D$1,SMALL(Dong1,ROWS($1:120)),),""))</f>
        <v/>
      </c>
      <c r="E133" s="166" t="str">
        <f ca="1">IF(ROWS($1:120)&gt;COUNT(Dong1),"",OFFSET(TH!F$1,SMALL(Dong1,ROWS($1:120)),))</f>
        <v>Thu t./ứng PC:66 ngày 11/11</v>
      </c>
      <c r="F133" s="117">
        <f ca="1">IF(ROWS($1:120)&gt;COUNT(Dong1),"",IF(OFFSET(TH!O$1,SMALL(Dong1,ROWS($1:120)),)="1111",OFFSET(TH!N$1,SMALL(Dong1,ROWS($1:120)),),OFFSET(TH!O$1,SMALL(Dong1,ROWS($1:120)),)))</f>
        <v>0</v>
      </c>
      <c r="G133" s="118">
        <f ca="1">IF(ROWS($1:120)&gt;COUNT(Dong1),"",IF(OFFSET(TH!N$1,SMALL(Dong1,ROWS($1:120)),)="1111",OFFSET(TH!M$1,SMALL(Dong1,ROWS($1:120)),),0))</f>
        <v>50000000</v>
      </c>
      <c r="H133" s="116">
        <f ca="1">IF(ROWS($1:120)&gt;COUNT(Dong1),"",IF(OFFSET(TH!O$1,SMALL(Dong1,ROWS($1:120)),)="1111",OFFSET(TH!M$1,SMALL(Dong1,ROWS($1:120)),),0))</f>
        <v>0</v>
      </c>
      <c r="I133" s="114">
        <f t="shared" ca="1" si="2"/>
        <v>298835000</v>
      </c>
      <c r="J133" s="119"/>
    </row>
    <row r="134" spans="1:10" ht="19.5" customHeight="1">
      <c r="A134" s="113">
        <f ca="1">IF(ROWS($1:121)&gt;COUNT(Dong1),"",OFFSET(TH!C$1,SMALL(Dong1,ROWS($1:121)),))</f>
        <v>42690</v>
      </c>
      <c r="B134" s="113">
        <f ca="1">IF(ROWS($1:121)&gt;COUNT(Dong1),"",OFFSET(TH!E$1,SMALL(Dong1,ROWS($1:121)),))</f>
        <v>42690</v>
      </c>
      <c r="C134" s="114" t="str">
        <f ca="1">IF(ROWS($1:121)&gt;COUNT(Dong1),"",IF(OFFSET(TH!N$1,SMALL(Dong1,ROWS($1:121)),)="1111",OFFSET(TH!D$1,SMALL(Dong1,ROWS($1:121)),),""))</f>
        <v/>
      </c>
      <c r="D134" s="115" t="str">
        <f ca="1">IF(ROWS($1:121)&gt;COUNT(Dong1),"",IF(OFFSET(TH!O$1,SMALL(Dong1,ROWS($1:121)),)="1111",OFFSET(TH!D$1,SMALL(Dong1,ROWS($1:121)),),""))</f>
        <v>C100</v>
      </c>
      <c r="E134" s="166" t="str">
        <f ca="1">IF(ROWS($1:121)&gt;COUNT(Dong1),"",OFFSET(TH!F$1,SMALL(Dong1,ROWS($1:121)),))</f>
        <v>Mua blook máy kho lạnh TV</v>
      </c>
      <c r="F134" s="117">
        <f ca="1">IF(ROWS($1:121)&gt;COUNT(Dong1),"",IF(OFFSET(TH!O$1,SMALL(Dong1,ROWS($1:121)),)="1111",OFFSET(TH!N$1,SMALL(Dong1,ROWS($1:121)),),OFFSET(TH!O$1,SMALL(Dong1,ROWS($1:121)),)))</f>
        <v>0</v>
      </c>
      <c r="G134" s="118">
        <f ca="1">IF(ROWS($1:121)&gt;COUNT(Dong1),"",IF(OFFSET(TH!N$1,SMALL(Dong1,ROWS($1:121)),)="1111",OFFSET(TH!M$1,SMALL(Dong1,ROWS($1:121)),),0))</f>
        <v>0</v>
      </c>
      <c r="H134" s="116">
        <f ca="1">IF(ROWS($1:121)&gt;COUNT(Dong1),"",IF(OFFSET(TH!O$1,SMALL(Dong1,ROWS($1:121)),)="1111",OFFSET(TH!M$1,SMALL(Dong1,ROWS($1:121)),),0))</f>
        <v>43600000</v>
      </c>
      <c r="I134" s="114">
        <f t="shared" ca="1" si="2"/>
        <v>255235000</v>
      </c>
      <c r="J134" s="119"/>
    </row>
    <row r="135" spans="1:10" ht="19.5" customHeight="1">
      <c r="A135" s="113">
        <f ca="1">IF(ROWS($1:122)&gt;COUNT(Dong1),"",OFFSET(TH!C$1,SMALL(Dong1,ROWS($1:122)),))</f>
        <v>42690</v>
      </c>
      <c r="B135" s="113">
        <f ca="1">IF(ROWS($1:122)&gt;COUNT(Dong1),"",OFFSET(TH!E$1,SMALL(Dong1,ROWS($1:122)),))</f>
        <v>42690</v>
      </c>
      <c r="C135" s="114" t="str">
        <f ca="1">IF(ROWS($1:122)&gt;COUNT(Dong1),"",IF(OFFSET(TH!N$1,SMALL(Dong1,ROWS($1:122)),)="1111",OFFSET(TH!D$1,SMALL(Dong1,ROWS($1:122)),),""))</f>
        <v/>
      </c>
      <c r="D135" s="115" t="str">
        <f ca="1">IF(ROWS($1:122)&gt;COUNT(Dong1),"",IF(OFFSET(TH!O$1,SMALL(Dong1,ROWS($1:122)),)="1111",OFFSET(TH!D$1,SMALL(Dong1,ROWS($1:122)),),""))</f>
        <v>C101</v>
      </c>
      <c r="E135" s="166" t="str">
        <f ca="1">IF(ROWS($1:122)&gt;COUNT(Dong1),"",OFFSET(TH!F$1,SMALL(Dong1,ROWS($1:122)),))</f>
        <v>Mua gạo nhà</v>
      </c>
      <c r="F135" s="117">
        <f ca="1">IF(ROWS($1:122)&gt;COUNT(Dong1),"",IF(OFFSET(TH!O$1,SMALL(Dong1,ROWS($1:122)),)="1111",OFFSET(TH!N$1,SMALL(Dong1,ROWS($1:122)),),OFFSET(TH!O$1,SMALL(Dong1,ROWS($1:122)),)))</f>
        <v>0</v>
      </c>
      <c r="G135" s="118">
        <f ca="1">IF(ROWS($1:122)&gt;COUNT(Dong1),"",IF(OFFSET(TH!N$1,SMALL(Dong1,ROWS($1:122)),)="1111",OFFSET(TH!M$1,SMALL(Dong1,ROWS($1:122)),),0))</f>
        <v>0</v>
      </c>
      <c r="H135" s="116">
        <f ca="1">IF(ROWS($1:122)&gt;COUNT(Dong1),"",IF(OFFSET(TH!O$1,SMALL(Dong1,ROWS($1:122)),)="1111",OFFSET(TH!M$1,SMALL(Dong1,ROWS($1:122)),),0))</f>
        <v>290000</v>
      </c>
      <c r="I135" s="114">
        <f t="shared" ca="1" si="2"/>
        <v>254945000</v>
      </c>
      <c r="J135" s="119"/>
    </row>
    <row r="136" spans="1:10" ht="19.5" customHeight="1">
      <c r="A136" s="113">
        <f ca="1">IF(ROWS($1:123)&gt;COUNT(Dong1),"",OFFSET(TH!C$1,SMALL(Dong1,ROWS($1:123)),))</f>
        <v>42690</v>
      </c>
      <c r="B136" s="113">
        <f ca="1">IF(ROWS($1:123)&gt;COUNT(Dong1),"",OFFSET(TH!E$1,SMALL(Dong1,ROWS($1:123)),))</f>
        <v>42690</v>
      </c>
      <c r="C136" s="114" t="str">
        <f ca="1">IF(ROWS($1:123)&gt;COUNT(Dong1),"",IF(OFFSET(TH!N$1,SMALL(Dong1,ROWS($1:123)),)="1111",OFFSET(TH!D$1,SMALL(Dong1,ROWS($1:123)),),""))</f>
        <v/>
      </c>
      <c r="D136" s="115" t="str">
        <f ca="1">IF(ROWS($1:123)&gt;COUNT(Dong1),"",IF(OFFSET(TH!O$1,SMALL(Dong1,ROWS($1:123)),)="1111",OFFSET(TH!D$1,SMALL(Dong1,ROWS($1:123)),),""))</f>
        <v>C102</v>
      </c>
      <c r="E136" s="166" t="str">
        <f ca="1">IF(ROWS($1:123)&gt;COUNT(Dong1),"",OFFSET(TH!F$1,SMALL(Dong1,ROWS($1:123)),))</f>
        <v>Chi lương T10/16</v>
      </c>
      <c r="F136" s="117">
        <f ca="1">IF(ROWS($1:123)&gt;COUNT(Dong1),"",IF(OFFSET(TH!O$1,SMALL(Dong1,ROWS($1:123)),)="1111",OFFSET(TH!N$1,SMALL(Dong1,ROWS($1:123)),),OFFSET(TH!O$1,SMALL(Dong1,ROWS($1:123)),)))</f>
        <v>0</v>
      </c>
      <c r="G136" s="118">
        <f ca="1">IF(ROWS($1:123)&gt;COUNT(Dong1),"",IF(OFFSET(TH!N$1,SMALL(Dong1,ROWS($1:123)),)="1111",OFFSET(TH!M$1,SMALL(Dong1,ROWS($1:123)),),0))</f>
        <v>0</v>
      </c>
      <c r="H136" s="116">
        <f ca="1">IF(ROWS($1:123)&gt;COUNT(Dong1),"",IF(OFFSET(TH!O$1,SMALL(Dong1,ROWS($1:123)),)="1111",OFFSET(TH!M$1,SMALL(Dong1,ROWS($1:123)),),0))</f>
        <v>243791000</v>
      </c>
      <c r="I136" s="114">
        <f t="shared" ca="1" si="2"/>
        <v>11154000</v>
      </c>
      <c r="J136" s="119"/>
    </row>
    <row r="137" spans="1:10" ht="19.5" customHeight="1">
      <c r="A137" s="113">
        <f ca="1">IF(ROWS($1:124)&gt;COUNT(Dong1),"",OFFSET(TH!C$1,SMALL(Dong1,ROWS($1:124)),))</f>
        <v>42691</v>
      </c>
      <c r="B137" s="113">
        <f ca="1">IF(ROWS($1:124)&gt;COUNT(Dong1),"",OFFSET(TH!E$1,SMALL(Dong1,ROWS($1:124)),))</f>
        <v>42691</v>
      </c>
      <c r="C137" s="114" t="str">
        <f ca="1">IF(ROWS($1:124)&gt;COUNT(Dong1),"",IF(OFFSET(TH!N$1,SMALL(Dong1,ROWS($1:124)),)="1111",OFFSET(TH!D$1,SMALL(Dong1,ROWS($1:124)),),""))</f>
        <v/>
      </c>
      <c r="D137" s="115" t="str">
        <f ca="1">IF(ROWS($1:124)&gt;COUNT(Dong1),"",IF(OFFSET(TH!O$1,SMALL(Dong1,ROWS($1:124)),)="1111",OFFSET(TH!D$1,SMALL(Dong1,ROWS($1:124)),),""))</f>
        <v>C103</v>
      </c>
      <c r="E137" s="166" t="str">
        <f ca="1">IF(ROWS($1:124)&gt;COUNT(Dong1),"",OFFSET(TH!F$1,SMALL(Dong1,ROWS($1:124)),))</f>
        <v>Bồi dưỡng cây kiểng</v>
      </c>
      <c r="F137" s="117">
        <f ca="1">IF(ROWS($1:124)&gt;COUNT(Dong1),"",IF(OFFSET(TH!O$1,SMALL(Dong1,ROWS($1:124)),)="1111",OFFSET(TH!N$1,SMALL(Dong1,ROWS($1:124)),),OFFSET(TH!O$1,SMALL(Dong1,ROWS($1:124)),)))</f>
        <v>0</v>
      </c>
      <c r="G137" s="118">
        <f ca="1">IF(ROWS($1:124)&gt;COUNT(Dong1),"",IF(OFFSET(TH!N$1,SMALL(Dong1,ROWS($1:124)),)="1111",OFFSET(TH!M$1,SMALL(Dong1,ROWS($1:124)),),0))</f>
        <v>0</v>
      </c>
      <c r="H137" s="116">
        <f ca="1">IF(ROWS($1:124)&gt;COUNT(Dong1),"",IF(OFFSET(TH!O$1,SMALL(Dong1,ROWS($1:124)),)="1111",OFFSET(TH!M$1,SMALL(Dong1,ROWS($1:124)),),0))</f>
        <v>300000</v>
      </c>
      <c r="I137" s="114">
        <f t="shared" ca="1" si="2"/>
        <v>10854000</v>
      </c>
      <c r="J137" s="119"/>
    </row>
    <row r="138" spans="1:10" ht="19.5" customHeight="1">
      <c r="A138" s="113">
        <f ca="1">IF(ROWS($1:125)&gt;COUNT(Dong1),"",OFFSET(TH!C$1,SMALL(Dong1,ROWS($1:125)),))</f>
        <v>42691</v>
      </c>
      <c r="B138" s="113">
        <f ca="1">IF(ROWS($1:125)&gt;COUNT(Dong1),"",OFFSET(TH!E$1,SMALL(Dong1,ROWS($1:125)),))</f>
        <v>42691</v>
      </c>
      <c r="C138" s="114" t="str">
        <f ca="1">IF(ROWS($1:125)&gt;COUNT(Dong1),"",IF(OFFSET(TH!N$1,SMALL(Dong1,ROWS($1:125)),)="1111",OFFSET(TH!D$1,SMALL(Dong1,ROWS($1:125)),),""))</f>
        <v/>
      </c>
      <c r="D138" s="115" t="str">
        <f ca="1">IF(ROWS($1:125)&gt;COUNT(Dong1),"",IF(OFFSET(TH!O$1,SMALL(Dong1,ROWS($1:125)),)="1111",OFFSET(TH!D$1,SMALL(Dong1,ROWS($1:125)),),""))</f>
        <v>C104</v>
      </c>
      <c r="E138" s="166" t="str">
        <f ca="1">IF(ROWS($1:125)&gt;COUNT(Dong1),"",OFFSET(TH!F$1,SMALL(Dong1,ROWS($1:125)),))</f>
        <v>Chi phí Trà Vinh C.Duy</v>
      </c>
      <c r="F138" s="117">
        <f ca="1">IF(ROWS($1:125)&gt;COUNT(Dong1),"",IF(OFFSET(TH!O$1,SMALL(Dong1,ROWS($1:125)),)="1111",OFFSET(TH!N$1,SMALL(Dong1,ROWS($1:125)),),OFFSET(TH!O$1,SMALL(Dong1,ROWS($1:125)),)))</f>
        <v>0</v>
      </c>
      <c r="G138" s="118">
        <f ca="1">IF(ROWS($1:125)&gt;COUNT(Dong1),"",IF(OFFSET(TH!N$1,SMALL(Dong1,ROWS($1:125)),)="1111",OFFSET(TH!M$1,SMALL(Dong1,ROWS($1:125)),),0))</f>
        <v>0</v>
      </c>
      <c r="H138" s="116">
        <f ca="1">IF(ROWS($1:125)&gt;COUNT(Dong1),"",IF(OFFSET(TH!O$1,SMALL(Dong1,ROWS($1:125)),)="1111",OFFSET(TH!M$1,SMALL(Dong1,ROWS($1:125)),),0))</f>
        <v>5000000</v>
      </c>
      <c r="I138" s="114">
        <f t="shared" ca="1" si="2"/>
        <v>5854000</v>
      </c>
      <c r="J138" s="119"/>
    </row>
    <row r="139" spans="1:10" ht="19.5" customHeight="1">
      <c r="A139" s="113">
        <f ca="1">IF(ROWS($1:126)&gt;COUNT(Dong1),"",OFFSET(TH!C$1,SMALL(Dong1,ROWS($1:126)),))</f>
        <v>42691</v>
      </c>
      <c r="B139" s="113">
        <f ca="1">IF(ROWS($1:126)&gt;COUNT(Dong1),"",OFFSET(TH!E$1,SMALL(Dong1,ROWS($1:126)),))</f>
        <v>42691</v>
      </c>
      <c r="C139" s="114" t="str">
        <f ca="1">IF(ROWS($1:126)&gt;COUNT(Dong1),"",IF(OFFSET(TH!N$1,SMALL(Dong1,ROWS($1:126)),)="1111",OFFSET(TH!D$1,SMALL(Dong1,ROWS($1:126)),),""))</f>
        <v>T19</v>
      </c>
      <c r="D139" s="115" t="str">
        <f ca="1">IF(ROWS($1:126)&gt;COUNT(Dong1),"",IF(OFFSET(TH!O$1,SMALL(Dong1,ROWS($1:126)),)="1111",OFFSET(TH!D$1,SMALL(Dong1,ROWS($1:126)),),""))</f>
        <v/>
      </c>
      <c r="E139" s="166" t="str">
        <f ca="1">IF(ROWS($1:126)&gt;COUNT(Dong1),"",OFFSET(TH!F$1,SMALL(Dong1,ROWS($1:126)),))</f>
        <v>Thu tiền C. Nguyệt</v>
      </c>
      <c r="F139" s="117">
        <f ca="1">IF(ROWS($1:126)&gt;COUNT(Dong1),"",IF(OFFSET(TH!O$1,SMALL(Dong1,ROWS($1:126)),)="1111",OFFSET(TH!N$1,SMALL(Dong1,ROWS($1:126)),),OFFSET(TH!O$1,SMALL(Dong1,ROWS($1:126)),)))</f>
        <v>0</v>
      </c>
      <c r="G139" s="118">
        <f ca="1">IF(ROWS($1:126)&gt;COUNT(Dong1),"",IF(OFFSET(TH!N$1,SMALL(Dong1,ROWS($1:126)),)="1111",OFFSET(TH!M$1,SMALL(Dong1,ROWS($1:126)),),0))</f>
        <v>92500000</v>
      </c>
      <c r="H139" s="116">
        <f ca="1">IF(ROWS($1:126)&gt;COUNT(Dong1),"",IF(OFFSET(TH!O$1,SMALL(Dong1,ROWS($1:126)),)="1111",OFFSET(TH!M$1,SMALL(Dong1,ROWS($1:126)),),0))</f>
        <v>0</v>
      </c>
      <c r="I139" s="114">
        <f t="shared" ca="1" si="2"/>
        <v>98354000</v>
      </c>
      <c r="J139" s="119"/>
    </row>
    <row r="140" spans="1:10" ht="19.5" customHeight="1">
      <c r="A140" s="113">
        <f ca="1">IF(ROWS($1:127)&gt;COUNT(Dong1),"",OFFSET(TH!C$1,SMALL(Dong1,ROWS($1:127)),))</f>
        <v>42691</v>
      </c>
      <c r="B140" s="113">
        <f ca="1">IF(ROWS($1:127)&gt;COUNT(Dong1),"",OFFSET(TH!E$1,SMALL(Dong1,ROWS($1:127)),))</f>
        <v>42691</v>
      </c>
      <c r="C140" s="114" t="str">
        <f ca="1">IF(ROWS($1:127)&gt;COUNT(Dong1),"",IF(OFFSET(TH!N$1,SMALL(Dong1,ROWS($1:127)),)="1111",OFFSET(TH!D$1,SMALL(Dong1,ROWS($1:127)),),""))</f>
        <v>T20</v>
      </c>
      <c r="D140" s="115" t="str">
        <f ca="1">IF(ROWS($1:127)&gt;COUNT(Dong1),"",IF(OFFSET(TH!O$1,SMALL(Dong1,ROWS($1:127)),)="1111",OFFSET(TH!D$1,SMALL(Dong1,ROWS($1:127)),),""))</f>
        <v/>
      </c>
      <c r="E140" s="166" t="str">
        <f ca="1">IF(ROWS($1:127)&gt;COUNT(Dong1),"",OFFSET(TH!F$1,SMALL(Dong1,ROWS($1:127)),))</f>
        <v>Thu tiền Phán VT</v>
      </c>
      <c r="F140" s="117">
        <f ca="1">IF(ROWS($1:127)&gt;COUNT(Dong1),"",IF(OFFSET(TH!O$1,SMALL(Dong1,ROWS($1:127)),)="1111",OFFSET(TH!N$1,SMALL(Dong1,ROWS($1:127)),),OFFSET(TH!O$1,SMALL(Dong1,ROWS($1:127)),)))</f>
        <v>0</v>
      </c>
      <c r="G140" s="118">
        <f ca="1">IF(ROWS($1:127)&gt;COUNT(Dong1),"",IF(OFFSET(TH!N$1,SMALL(Dong1,ROWS($1:127)),)="1111",OFFSET(TH!M$1,SMALL(Dong1,ROWS($1:127)),),0))</f>
        <v>129160000</v>
      </c>
      <c r="H140" s="116">
        <f ca="1">IF(ROWS($1:127)&gt;COUNT(Dong1),"",IF(OFFSET(TH!O$1,SMALL(Dong1,ROWS($1:127)),)="1111",OFFSET(TH!M$1,SMALL(Dong1,ROWS($1:127)),),0))</f>
        <v>0</v>
      </c>
      <c r="I140" s="114">
        <f t="shared" ca="1" si="2"/>
        <v>227514000</v>
      </c>
      <c r="J140" s="119"/>
    </row>
    <row r="141" spans="1:10" ht="19.5" customHeight="1">
      <c r="A141" s="113">
        <f ca="1">IF(ROWS($1:128)&gt;COUNT(Dong1),"",OFFSET(TH!C$1,SMALL(Dong1,ROWS($1:128)),))</f>
        <v>42691</v>
      </c>
      <c r="B141" s="113">
        <f ca="1">IF(ROWS($1:128)&gt;COUNT(Dong1),"",OFFSET(TH!E$1,SMALL(Dong1,ROWS($1:128)),))</f>
        <v>42691</v>
      </c>
      <c r="C141" s="114" t="str">
        <f ca="1">IF(ROWS($1:128)&gt;COUNT(Dong1),"",IF(OFFSET(TH!N$1,SMALL(Dong1,ROWS($1:128)),)="1111",OFFSET(TH!D$1,SMALL(Dong1,ROWS($1:128)),),""))</f>
        <v>T21</v>
      </c>
      <c r="D141" s="115" t="str">
        <f ca="1">IF(ROWS($1:128)&gt;COUNT(Dong1),"",IF(OFFSET(TH!O$1,SMALL(Dong1,ROWS($1:128)),)="1111",OFFSET(TH!D$1,SMALL(Dong1,ROWS($1:128)),),""))</f>
        <v/>
      </c>
      <c r="E141" s="166" t="str">
        <f ca="1">IF(ROWS($1:128)&gt;COUNT(Dong1),"",OFFSET(TH!F$1,SMALL(Dong1,ROWS($1:128)),))</f>
        <v>Thu tiền C.8</v>
      </c>
      <c r="F141" s="117">
        <f ca="1">IF(ROWS($1:128)&gt;COUNT(Dong1),"",IF(OFFSET(TH!O$1,SMALL(Dong1,ROWS($1:128)),)="1111",OFFSET(TH!N$1,SMALL(Dong1,ROWS($1:128)),),OFFSET(TH!O$1,SMALL(Dong1,ROWS($1:128)),)))</f>
        <v>0</v>
      </c>
      <c r="G141" s="118">
        <f ca="1">IF(ROWS($1:128)&gt;COUNT(Dong1),"",IF(OFFSET(TH!N$1,SMALL(Dong1,ROWS($1:128)),)="1111",OFFSET(TH!M$1,SMALL(Dong1,ROWS($1:128)),),0))</f>
        <v>28340000</v>
      </c>
      <c r="H141" s="116">
        <f ca="1">IF(ROWS($1:128)&gt;COUNT(Dong1),"",IF(OFFSET(TH!O$1,SMALL(Dong1,ROWS($1:128)),)="1111",OFFSET(TH!M$1,SMALL(Dong1,ROWS($1:128)),),0))</f>
        <v>0</v>
      </c>
      <c r="I141" s="114">
        <f t="shared" ca="1" si="2"/>
        <v>255854000</v>
      </c>
      <c r="J141" s="119"/>
    </row>
    <row r="142" spans="1:10" ht="19.5" customHeight="1">
      <c r="A142" s="113">
        <f ca="1">IF(ROWS($1:129)&gt;COUNT(Dong1),"",OFFSET(TH!C$1,SMALL(Dong1,ROWS($1:129)),))</f>
        <v>42691</v>
      </c>
      <c r="B142" s="113">
        <f ca="1">IF(ROWS($1:129)&gt;COUNT(Dong1),"",OFFSET(TH!E$1,SMALL(Dong1,ROWS($1:129)),))</f>
        <v>42691</v>
      </c>
      <c r="C142" s="114" t="str">
        <f ca="1">IF(ROWS($1:129)&gt;COUNT(Dong1),"",IF(OFFSET(TH!N$1,SMALL(Dong1,ROWS($1:129)),)="1111",OFFSET(TH!D$1,SMALL(Dong1,ROWS($1:129)),),""))</f>
        <v/>
      </c>
      <c r="D142" s="115" t="str">
        <f ca="1">IF(ROWS($1:129)&gt;COUNT(Dong1),"",IF(OFFSET(TH!O$1,SMALL(Dong1,ROWS($1:129)),)="1111",OFFSET(TH!D$1,SMALL(Dong1,ROWS($1:129)),),""))</f>
        <v>C105</v>
      </c>
      <c r="E142" s="166" t="str">
        <f ca="1">IF(ROWS($1:129)&gt;COUNT(Dong1),"",OFFSET(TH!F$1,SMALL(Dong1,ROWS($1:129)),))</f>
        <v>Trả tiền cá</v>
      </c>
      <c r="F142" s="117" t="str">
        <f ca="1">IF(ROWS($1:129)&gt;COUNT(Dong1),"",IF(OFFSET(TH!O$1,SMALL(Dong1,ROWS($1:129)),)="1111",OFFSET(TH!N$1,SMALL(Dong1,ROWS($1:129)),),OFFSET(TH!O$1,SMALL(Dong1,ROWS($1:129)),)))</f>
        <v>331</v>
      </c>
      <c r="G142" s="118">
        <f ca="1">IF(ROWS($1:129)&gt;COUNT(Dong1),"",IF(OFFSET(TH!N$1,SMALL(Dong1,ROWS($1:129)),)="1111",OFFSET(TH!M$1,SMALL(Dong1,ROWS($1:129)),),0))</f>
        <v>0</v>
      </c>
      <c r="H142" s="116">
        <f ca="1">IF(ROWS($1:129)&gt;COUNT(Dong1),"",IF(OFFSET(TH!O$1,SMALL(Dong1,ROWS($1:129)),)="1111",OFFSET(TH!M$1,SMALL(Dong1,ROWS($1:129)),),0))</f>
        <v>100000000</v>
      </c>
      <c r="I142" s="114">
        <f t="shared" ca="1" si="2"/>
        <v>155854000</v>
      </c>
      <c r="J142" s="119"/>
    </row>
    <row r="143" spans="1:10" ht="19.5" customHeight="1">
      <c r="A143" s="113">
        <f ca="1">IF(ROWS($1:130)&gt;COUNT(Dong1),"",OFFSET(TH!C$1,SMALL(Dong1,ROWS($1:130)),))</f>
        <v>42691</v>
      </c>
      <c r="B143" s="113">
        <f ca="1">IF(ROWS($1:130)&gt;COUNT(Dong1),"",OFFSET(TH!E$1,SMALL(Dong1,ROWS($1:130)),))</f>
        <v>42691</v>
      </c>
      <c r="C143" s="114" t="str">
        <f ca="1">IF(ROWS($1:130)&gt;COUNT(Dong1),"",IF(OFFSET(TH!N$1,SMALL(Dong1,ROWS($1:130)),)="1111",OFFSET(TH!D$1,SMALL(Dong1,ROWS($1:130)),),""))</f>
        <v/>
      </c>
      <c r="D143" s="115" t="str">
        <f ca="1">IF(ROWS($1:130)&gt;COUNT(Dong1),"",IF(OFFSET(TH!O$1,SMALL(Dong1,ROWS($1:130)),)="1111",OFFSET(TH!D$1,SMALL(Dong1,ROWS($1:130)),),""))</f>
        <v>C106</v>
      </c>
      <c r="E143" s="166" t="str">
        <f ca="1">IF(ROWS($1:130)&gt;COUNT(Dong1),"",OFFSET(TH!F$1,SMALL(Dong1,ROWS($1:130)),))</f>
        <v>Trả tiền cá</v>
      </c>
      <c r="F143" s="117" t="str">
        <f ca="1">IF(ROWS($1:130)&gt;COUNT(Dong1),"",IF(OFFSET(TH!O$1,SMALL(Dong1,ROWS($1:130)),)="1111",OFFSET(TH!N$1,SMALL(Dong1,ROWS($1:130)),),OFFSET(TH!O$1,SMALL(Dong1,ROWS($1:130)),)))</f>
        <v>331</v>
      </c>
      <c r="G143" s="118">
        <f ca="1">IF(ROWS($1:130)&gt;COUNT(Dong1),"",IF(OFFSET(TH!N$1,SMALL(Dong1,ROWS($1:130)),)="1111",OFFSET(TH!M$1,SMALL(Dong1,ROWS($1:130)),),0))</f>
        <v>0</v>
      </c>
      <c r="H143" s="116">
        <f ca="1">IF(ROWS($1:130)&gt;COUNT(Dong1),"",IF(OFFSET(TH!O$1,SMALL(Dong1,ROWS($1:130)),)="1111",OFFSET(TH!M$1,SMALL(Dong1,ROWS($1:130)),),0))</f>
        <v>100000000</v>
      </c>
      <c r="I143" s="114">
        <f t="shared" ca="1" si="2"/>
        <v>55854000</v>
      </c>
      <c r="J143" s="119"/>
    </row>
    <row r="144" spans="1:10" ht="19.5" customHeight="1">
      <c r="A144" s="113">
        <f ca="1">IF(ROWS($1:131)&gt;COUNT(Dong1),"",OFFSET(TH!C$1,SMALL(Dong1,ROWS($1:131)),))</f>
        <v>42691</v>
      </c>
      <c r="B144" s="113">
        <f ca="1">IF(ROWS($1:131)&gt;COUNT(Dong1),"",OFFSET(TH!E$1,SMALL(Dong1,ROWS($1:131)),))</f>
        <v>42691</v>
      </c>
      <c r="C144" s="114" t="str">
        <f ca="1">IF(ROWS($1:131)&gt;COUNT(Dong1),"",IF(OFFSET(TH!N$1,SMALL(Dong1,ROWS($1:131)),)="1111",OFFSET(TH!D$1,SMALL(Dong1,ROWS($1:131)),),""))</f>
        <v/>
      </c>
      <c r="D144" s="115" t="str">
        <f ca="1">IF(ROWS($1:131)&gt;COUNT(Dong1),"",IF(OFFSET(TH!O$1,SMALL(Dong1,ROWS($1:131)),)="1111",OFFSET(TH!D$1,SMALL(Dong1,ROWS($1:131)),),""))</f>
        <v>C107</v>
      </c>
      <c r="E144" s="166" t="str">
        <f ca="1">IF(ROWS($1:131)&gt;COUNT(Dong1),"",OFFSET(TH!F$1,SMALL(Dong1,ROWS($1:131)),))</f>
        <v>Chi tiền Trà Vinh</v>
      </c>
      <c r="F144" s="117">
        <f ca="1">IF(ROWS($1:131)&gt;COUNT(Dong1),"",IF(OFFSET(TH!O$1,SMALL(Dong1,ROWS($1:131)),)="1111",OFFSET(TH!N$1,SMALL(Dong1,ROWS($1:131)),),OFFSET(TH!O$1,SMALL(Dong1,ROWS($1:131)),)))</f>
        <v>0</v>
      </c>
      <c r="G144" s="118">
        <f ca="1">IF(ROWS($1:131)&gt;COUNT(Dong1),"",IF(OFFSET(TH!N$1,SMALL(Dong1,ROWS($1:131)),)="1111",OFFSET(TH!M$1,SMALL(Dong1,ROWS($1:131)),),0))</f>
        <v>0</v>
      </c>
      <c r="H144" s="116">
        <f ca="1">IF(ROWS($1:131)&gt;COUNT(Dong1),"",IF(OFFSET(TH!O$1,SMALL(Dong1,ROWS($1:131)),)="1111",OFFSET(TH!M$1,SMALL(Dong1,ROWS($1:131)),),0))</f>
        <v>50000000</v>
      </c>
      <c r="I144" s="114">
        <f t="shared" ca="1" si="2"/>
        <v>5854000</v>
      </c>
      <c r="J144" s="119"/>
    </row>
    <row r="145" spans="1:10" ht="19.5" customHeight="1">
      <c r="A145" s="113">
        <f ca="1">IF(ROWS($1:132)&gt;COUNT(Dong1),"",OFFSET(TH!C$1,SMALL(Dong1,ROWS($1:132)),))</f>
        <v>42691</v>
      </c>
      <c r="B145" s="113">
        <f ca="1">IF(ROWS($1:132)&gt;COUNT(Dong1),"",OFFSET(TH!E$1,SMALL(Dong1,ROWS($1:132)),))</f>
        <v>42691</v>
      </c>
      <c r="C145" s="114" t="str">
        <f ca="1">IF(ROWS($1:132)&gt;COUNT(Dong1),"",IF(OFFSET(TH!N$1,SMALL(Dong1,ROWS($1:132)),)="1111",OFFSET(TH!D$1,SMALL(Dong1,ROWS($1:132)),),""))</f>
        <v/>
      </c>
      <c r="D145" s="115" t="str">
        <f ca="1">IF(ROWS($1:132)&gt;COUNT(Dong1),"",IF(OFFSET(TH!O$1,SMALL(Dong1,ROWS($1:132)),)="1111",OFFSET(TH!D$1,SMALL(Dong1,ROWS($1:132)),),""))</f>
        <v>C108</v>
      </c>
      <c r="E145" s="166" t="str">
        <f ca="1">IF(ROWS($1:132)&gt;COUNT(Dong1),"",OFFSET(TH!F$1,SMALL(Dong1,ROWS($1:132)),))</f>
        <v>Chi phí 8</v>
      </c>
      <c r="F145" s="117">
        <f ca="1">IF(ROWS($1:132)&gt;COUNT(Dong1),"",IF(OFFSET(TH!O$1,SMALL(Dong1,ROWS($1:132)),)="1111",OFFSET(TH!N$1,SMALL(Dong1,ROWS($1:132)),),OFFSET(TH!O$1,SMALL(Dong1,ROWS($1:132)),)))</f>
        <v>0</v>
      </c>
      <c r="G145" s="118">
        <f ca="1">IF(ROWS($1:132)&gt;COUNT(Dong1),"",IF(OFFSET(TH!N$1,SMALL(Dong1,ROWS($1:132)),)="1111",OFFSET(TH!M$1,SMALL(Dong1,ROWS($1:132)),),0))</f>
        <v>0</v>
      </c>
      <c r="H145" s="116">
        <f ca="1">IF(ROWS($1:132)&gt;COUNT(Dong1),"",IF(OFFSET(TH!O$1,SMALL(Dong1,ROWS($1:132)),)="1111",OFFSET(TH!M$1,SMALL(Dong1,ROWS($1:132)),),0))</f>
        <v>2000000</v>
      </c>
      <c r="I145" s="114">
        <f t="shared" ca="1" si="2"/>
        <v>3854000</v>
      </c>
      <c r="J145" s="119"/>
    </row>
    <row r="146" spans="1:10" ht="19.5" customHeight="1">
      <c r="A146" s="113">
        <f ca="1">IF(ROWS($1:133)&gt;COUNT(Dong1),"",OFFSET(TH!C$1,SMALL(Dong1,ROWS($1:133)),))</f>
        <v>42696</v>
      </c>
      <c r="B146" s="113">
        <f ca="1">IF(ROWS($1:133)&gt;COUNT(Dong1),"",OFFSET(TH!E$1,SMALL(Dong1,ROWS($1:133)),))</f>
        <v>42696</v>
      </c>
      <c r="C146" s="114" t="str">
        <f ca="1">IF(ROWS($1:133)&gt;COUNT(Dong1),"",IF(OFFSET(TH!N$1,SMALL(Dong1,ROWS($1:133)),)="1111",OFFSET(TH!D$1,SMALL(Dong1,ROWS($1:133)),),""))</f>
        <v/>
      </c>
      <c r="D146" s="115" t="str">
        <f ca="1">IF(ROWS($1:133)&gt;COUNT(Dong1),"",IF(OFFSET(TH!O$1,SMALL(Dong1,ROWS($1:133)),)="1111",OFFSET(TH!D$1,SMALL(Dong1,ROWS($1:133)),),""))</f>
        <v>C109</v>
      </c>
      <c r="E146" s="166" t="str">
        <f ca="1">IF(ROWS($1:133)&gt;COUNT(Dong1),"",OFFSET(TH!F$1,SMALL(Dong1,ROWS($1:133)),))</f>
        <v>Tiền điện thoại C 10.</v>
      </c>
      <c r="F146" s="117">
        <f ca="1">IF(ROWS($1:133)&gt;COUNT(Dong1),"",IF(OFFSET(TH!O$1,SMALL(Dong1,ROWS($1:133)),)="1111",OFFSET(TH!N$1,SMALL(Dong1,ROWS($1:133)),),OFFSET(TH!O$1,SMALL(Dong1,ROWS($1:133)),)))</f>
        <v>0</v>
      </c>
      <c r="G146" s="118">
        <f ca="1">IF(ROWS($1:133)&gt;COUNT(Dong1),"",IF(OFFSET(TH!N$1,SMALL(Dong1,ROWS($1:133)),)="1111",OFFSET(TH!M$1,SMALL(Dong1,ROWS($1:133)),),0))</f>
        <v>0</v>
      </c>
      <c r="H146" s="116">
        <f ca="1">IF(ROWS($1:133)&gt;COUNT(Dong1),"",IF(OFFSET(TH!O$1,SMALL(Dong1,ROWS($1:133)),)="1111",OFFSET(TH!M$1,SMALL(Dong1,ROWS($1:133)),),0))</f>
        <v>228000</v>
      </c>
      <c r="I146" s="114">
        <f t="shared" ca="1" si="2"/>
        <v>3626000</v>
      </c>
      <c r="J146" s="119"/>
    </row>
    <row r="147" spans="1:10" ht="19.5" customHeight="1">
      <c r="A147" s="113">
        <f ca="1">IF(ROWS($1:134)&gt;COUNT(Dong1),"",OFFSET(TH!C$1,SMALL(Dong1,ROWS($1:134)),))</f>
        <v>42696</v>
      </c>
      <c r="B147" s="113">
        <f ca="1">IF(ROWS($1:134)&gt;COUNT(Dong1),"",OFFSET(TH!E$1,SMALL(Dong1,ROWS($1:134)),))</f>
        <v>42696</v>
      </c>
      <c r="C147" s="114" t="str">
        <f ca="1">IF(ROWS($1:134)&gt;COUNT(Dong1),"",IF(OFFSET(TH!N$1,SMALL(Dong1,ROWS($1:134)),)="1111",OFFSET(TH!D$1,SMALL(Dong1,ROWS($1:134)),),""))</f>
        <v/>
      </c>
      <c r="D147" s="115" t="str">
        <f ca="1">IF(ROWS($1:134)&gt;COUNT(Dong1),"",IF(OFFSET(TH!O$1,SMALL(Dong1,ROWS($1:134)),)="1111",OFFSET(TH!D$1,SMALL(Dong1,ROWS($1:134)),),""))</f>
        <v>C110</v>
      </c>
      <c r="E147" s="166" t="str">
        <f ca="1">IF(ROWS($1:134)&gt;COUNT(Dong1),"",OFFSET(TH!F$1,SMALL(Dong1,ROWS($1:134)),))</f>
        <v>Tiền chợ nhà</v>
      </c>
      <c r="F147" s="117">
        <f ca="1">IF(ROWS($1:134)&gt;COUNT(Dong1),"",IF(OFFSET(TH!O$1,SMALL(Dong1,ROWS($1:134)),)="1111",OFFSET(TH!N$1,SMALL(Dong1,ROWS($1:134)),),OFFSET(TH!O$1,SMALL(Dong1,ROWS($1:134)),)))</f>
        <v>0</v>
      </c>
      <c r="G147" s="118">
        <f ca="1">IF(ROWS($1:134)&gt;COUNT(Dong1),"",IF(OFFSET(TH!N$1,SMALL(Dong1,ROWS($1:134)),)="1111",OFFSET(TH!M$1,SMALL(Dong1,ROWS($1:134)),),0))</f>
        <v>0</v>
      </c>
      <c r="H147" s="116">
        <f ca="1">IF(ROWS($1:134)&gt;COUNT(Dong1),"",IF(OFFSET(TH!O$1,SMALL(Dong1,ROWS($1:134)),)="1111",OFFSET(TH!M$1,SMALL(Dong1,ROWS($1:134)),),0))</f>
        <v>500000</v>
      </c>
      <c r="I147" s="114">
        <f t="shared" ca="1" si="2"/>
        <v>3126000</v>
      </c>
      <c r="J147" s="119"/>
    </row>
    <row r="148" spans="1:10" ht="19.5" customHeight="1">
      <c r="A148" s="113" t="str">
        <f ca="1">IF(ROWS($1:135)&gt;COUNT(Dong1),"",OFFSET(TH!C$1,SMALL(Dong1,ROWS($1:135)),))</f>
        <v/>
      </c>
      <c r="B148" s="113" t="str">
        <f ca="1">IF(ROWS($1:135)&gt;COUNT(Dong1),"",OFFSET(TH!E$1,SMALL(Dong1,ROWS($1:135)),))</f>
        <v/>
      </c>
      <c r="C148" s="114" t="str">
        <f ca="1">IF(ROWS($1:135)&gt;COUNT(Dong1),"",IF(OFFSET(TH!N$1,SMALL(Dong1,ROWS($1:135)),)="1111",OFFSET(TH!D$1,SMALL(Dong1,ROWS($1:135)),),""))</f>
        <v/>
      </c>
      <c r="D148" s="115" t="str">
        <f ca="1">IF(ROWS($1:135)&gt;COUNT(Dong1),"",IF(OFFSET(TH!O$1,SMALL(Dong1,ROWS($1:135)),)="1111",OFFSET(TH!D$1,SMALL(Dong1,ROWS($1:135)),),""))</f>
        <v/>
      </c>
      <c r="E148" s="166" t="str">
        <f ca="1">IF(ROWS($1:135)&gt;COUNT(Dong1),"",OFFSET(TH!F$1,SMALL(Dong1,ROWS($1:135)),))</f>
        <v/>
      </c>
      <c r="F148" s="117" t="str">
        <f ca="1">IF(ROWS($1:135)&gt;COUNT(Dong1),"",IF(OFFSET(TH!O$1,SMALL(Dong1,ROWS($1:135)),)="1111",OFFSET(TH!N$1,SMALL(Dong1,ROWS($1:135)),),OFFSET(TH!O$1,SMALL(Dong1,ROWS($1:135)),)))</f>
        <v/>
      </c>
      <c r="G148" s="118" t="str">
        <f ca="1">IF(ROWS($1:135)&gt;COUNT(Dong1),"",IF(OFFSET(TH!N$1,SMALL(Dong1,ROWS($1:135)),)="1111",OFFSET(TH!M$1,SMALL(Dong1,ROWS($1:135)),),0))</f>
        <v/>
      </c>
      <c r="H148" s="116" t="str">
        <f ca="1">IF(ROWS($1:135)&gt;COUNT(Dong1),"",IF(OFFSET(TH!O$1,SMALL(Dong1,ROWS($1:135)),)="1111",OFFSET(TH!M$1,SMALL(Dong1,ROWS($1:135)),),0))</f>
        <v/>
      </c>
      <c r="I148" s="114">
        <f t="shared" ca="1" si="2"/>
        <v>0</v>
      </c>
      <c r="J148" s="119"/>
    </row>
    <row r="149" spans="1:10" ht="19.5" customHeight="1">
      <c r="A149" s="113" t="str">
        <f ca="1">IF(ROWS($1:136)&gt;COUNT(Dong1),"",OFFSET(TH!C$1,SMALL(Dong1,ROWS($1:136)),))</f>
        <v/>
      </c>
      <c r="B149" s="113" t="str">
        <f ca="1">IF(ROWS($1:136)&gt;COUNT(Dong1),"",OFFSET(TH!E$1,SMALL(Dong1,ROWS($1:136)),))</f>
        <v/>
      </c>
      <c r="C149" s="114" t="str">
        <f ca="1">IF(ROWS($1:136)&gt;COUNT(Dong1),"",IF(OFFSET(TH!N$1,SMALL(Dong1,ROWS($1:136)),)="1111",OFFSET(TH!D$1,SMALL(Dong1,ROWS($1:136)),),""))</f>
        <v/>
      </c>
      <c r="D149" s="115" t="str">
        <f ca="1">IF(ROWS($1:136)&gt;COUNT(Dong1),"",IF(OFFSET(TH!O$1,SMALL(Dong1,ROWS($1:136)),)="1111",OFFSET(TH!D$1,SMALL(Dong1,ROWS($1:136)),),""))</f>
        <v/>
      </c>
      <c r="E149" s="166" t="str">
        <f ca="1">IF(ROWS($1:136)&gt;COUNT(Dong1),"",OFFSET(TH!F$1,SMALL(Dong1,ROWS($1:136)),))</f>
        <v/>
      </c>
      <c r="F149" s="117" t="str">
        <f ca="1">IF(ROWS($1:136)&gt;COUNT(Dong1),"",IF(OFFSET(TH!O$1,SMALL(Dong1,ROWS($1:136)),)="1111",OFFSET(TH!N$1,SMALL(Dong1,ROWS($1:136)),),OFFSET(TH!O$1,SMALL(Dong1,ROWS($1:136)),)))</f>
        <v/>
      </c>
      <c r="G149" s="118" t="str">
        <f ca="1">IF(ROWS($1:136)&gt;COUNT(Dong1),"",IF(OFFSET(TH!N$1,SMALL(Dong1,ROWS($1:136)),)="1111",OFFSET(TH!M$1,SMALL(Dong1,ROWS($1:136)),),0))</f>
        <v/>
      </c>
      <c r="H149" s="116" t="str">
        <f ca="1">IF(ROWS($1:136)&gt;COUNT(Dong1),"",IF(OFFSET(TH!O$1,SMALL(Dong1,ROWS($1:136)),)="1111",OFFSET(TH!M$1,SMALL(Dong1,ROWS($1:136)),),0))</f>
        <v/>
      </c>
      <c r="I149" s="114">
        <f t="shared" ca="1" si="2"/>
        <v>0</v>
      </c>
      <c r="J149" s="119"/>
    </row>
    <row r="150" spans="1:10" ht="19.5" customHeight="1">
      <c r="A150" s="113" t="str">
        <f ca="1">IF(ROWS($1:137)&gt;COUNT(Dong1),"",OFFSET(TH!C$1,SMALL(Dong1,ROWS($1:137)),))</f>
        <v/>
      </c>
      <c r="B150" s="113" t="str">
        <f ca="1">IF(ROWS($1:137)&gt;COUNT(Dong1),"",OFFSET(TH!E$1,SMALL(Dong1,ROWS($1:137)),))</f>
        <v/>
      </c>
      <c r="C150" s="114" t="str">
        <f ca="1">IF(ROWS($1:137)&gt;COUNT(Dong1),"",IF(OFFSET(TH!N$1,SMALL(Dong1,ROWS($1:137)),)="1111",OFFSET(TH!D$1,SMALL(Dong1,ROWS($1:137)),),""))</f>
        <v/>
      </c>
      <c r="D150" s="115" t="str">
        <f ca="1">IF(ROWS($1:137)&gt;COUNT(Dong1),"",IF(OFFSET(TH!O$1,SMALL(Dong1,ROWS($1:137)),)="1111",OFFSET(TH!D$1,SMALL(Dong1,ROWS($1:137)),),""))</f>
        <v/>
      </c>
      <c r="E150" s="166" t="str">
        <f ca="1">IF(ROWS($1:137)&gt;COUNT(Dong1),"",OFFSET(TH!F$1,SMALL(Dong1,ROWS($1:137)),))</f>
        <v/>
      </c>
      <c r="F150" s="117" t="str">
        <f ca="1">IF(ROWS($1:137)&gt;COUNT(Dong1),"",IF(OFFSET(TH!O$1,SMALL(Dong1,ROWS($1:137)),)="1111",OFFSET(TH!N$1,SMALL(Dong1,ROWS($1:137)),),OFFSET(TH!O$1,SMALL(Dong1,ROWS($1:137)),)))</f>
        <v/>
      </c>
      <c r="G150" s="118" t="str">
        <f ca="1">IF(ROWS($1:137)&gt;COUNT(Dong1),"",IF(OFFSET(TH!N$1,SMALL(Dong1,ROWS($1:137)),)="1111",OFFSET(TH!M$1,SMALL(Dong1,ROWS($1:137)),),0))</f>
        <v/>
      </c>
      <c r="H150" s="116" t="str">
        <f ca="1">IF(ROWS($1:137)&gt;COUNT(Dong1),"",IF(OFFSET(TH!O$1,SMALL(Dong1,ROWS($1:137)),)="1111",OFFSET(TH!M$1,SMALL(Dong1,ROWS($1:137)),),0))</f>
        <v/>
      </c>
      <c r="I150" s="114">
        <f t="shared" ca="1" si="2"/>
        <v>0</v>
      </c>
      <c r="J150" s="119"/>
    </row>
    <row r="151" spans="1:10" ht="19.5" customHeight="1">
      <c r="A151" s="113" t="str">
        <f ca="1">IF(ROWS($1:138)&gt;COUNT(Dong1),"",OFFSET(TH!C$1,SMALL(Dong1,ROWS($1:138)),))</f>
        <v/>
      </c>
      <c r="B151" s="113" t="str">
        <f ca="1">IF(ROWS($1:138)&gt;COUNT(Dong1),"",OFFSET(TH!E$1,SMALL(Dong1,ROWS($1:138)),))</f>
        <v/>
      </c>
      <c r="C151" s="114" t="str">
        <f ca="1">IF(ROWS($1:138)&gt;COUNT(Dong1),"",IF(OFFSET(TH!N$1,SMALL(Dong1,ROWS($1:138)),)="1111",OFFSET(TH!D$1,SMALL(Dong1,ROWS($1:138)),),""))</f>
        <v/>
      </c>
      <c r="D151" s="115" t="str">
        <f ca="1">IF(ROWS($1:138)&gt;COUNT(Dong1),"",IF(OFFSET(TH!O$1,SMALL(Dong1,ROWS($1:138)),)="1111",OFFSET(TH!D$1,SMALL(Dong1,ROWS($1:138)),),""))</f>
        <v/>
      </c>
      <c r="E151" s="166" t="str">
        <f ca="1">IF(ROWS($1:138)&gt;COUNT(Dong1),"",OFFSET(TH!F$1,SMALL(Dong1,ROWS($1:138)),))</f>
        <v/>
      </c>
      <c r="F151" s="117" t="str">
        <f ca="1">IF(ROWS($1:138)&gt;COUNT(Dong1),"",IF(OFFSET(TH!O$1,SMALL(Dong1,ROWS($1:138)),)="1111",OFFSET(TH!N$1,SMALL(Dong1,ROWS($1:138)),),OFFSET(TH!O$1,SMALL(Dong1,ROWS($1:138)),)))</f>
        <v/>
      </c>
      <c r="G151" s="118" t="str">
        <f ca="1">IF(ROWS($1:138)&gt;COUNT(Dong1),"",IF(OFFSET(TH!N$1,SMALL(Dong1,ROWS($1:138)),)="1111",OFFSET(TH!M$1,SMALL(Dong1,ROWS($1:138)),),0))</f>
        <v/>
      </c>
      <c r="H151" s="116" t="str">
        <f ca="1">IF(ROWS($1:138)&gt;COUNT(Dong1),"",IF(OFFSET(TH!O$1,SMALL(Dong1,ROWS($1:138)),)="1111",OFFSET(TH!M$1,SMALL(Dong1,ROWS($1:138)),),0))</f>
        <v/>
      </c>
      <c r="I151" s="114">
        <f t="shared" ca="1" si="2"/>
        <v>0</v>
      </c>
      <c r="J151" s="119"/>
    </row>
    <row r="152" spans="1:10" ht="19.5" customHeight="1">
      <c r="A152" s="113" t="str">
        <f ca="1">IF(ROWS($1:139)&gt;COUNT(Dong1),"",OFFSET(TH!C$1,SMALL(Dong1,ROWS($1:139)),))</f>
        <v/>
      </c>
      <c r="B152" s="113" t="str">
        <f ca="1">IF(ROWS($1:139)&gt;COUNT(Dong1),"",OFFSET(TH!E$1,SMALL(Dong1,ROWS($1:139)),))</f>
        <v/>
      </c>
      <c r="C152" s="114" t="str">
        <f ca="1">IF(ROWS($1:139)&gt;COUNT(Dong1),"",IF(OFFSET(TH!N$1,SMALL(Dong1,ROWS($1:139)),)="1111",OFFSET(TH!D$1,SMALL(Dong1,ROWS($1:139)),),""))</f>
        <v/>
      </c>
      <c r="D152" s="115" t="str">
        <f ca="1">IF(ROWS($1:139)&gt;COUNT(Dong1),"",IF(OFFSET(TH!O$1,SMALL(Dong1,ROWS($1:139)),)="1111",OFFSET(TH!D$1,SMALL(Dong1,ROWS($1:139)),),""))</f>
        <v/>
      </c>
      <c r="E152" s="166" t="str">
        <f ca="1">IF(ROWS($1:139)&gt;COUNT(Dong1),"",OFFSET(TH!F$1,SMALL(Dong1,ROWS($1:139)),))</f>
        <v/>
      </c>
      <c r="F152" s="117" t="str">
        <f ca="1">IF(ROWS($1:139)&gt;COUNT(Dong1),"",IF(OFFSET(TH!O$1,SMALL(Dong1,ROWS($1:139)),)="1111",OFFSET(TH!N$1,SMALL(Dong1,ROWS($1:139)),),OFFSET(TH!O$1,SMALL(Dong1,ROWS($1:139)),)))</f>
        <v/>
      </c>
      <c r="G152" s="118" t="str">
        <f ca="1">IF(ROWS($1:139)&gt;COUNT(Dong1),"",IF(OFFSET(TH!N$1,SMALL(Dong1,ROWS($1:139)),)="1111",OFFSET(TH!M$1,SMALL(Dong1,ROWS($1:139)),),0))</f>
        <v/>
      </c>
      <c r="H152" s="116" t="str">
        <f ca="1">IF(ROWS($1:139)&gt;COUNT(Dong1),"",IF(OFFSET(TH!O$1,SMALL(Dong1,ROWS($1:139)),)="1111",OFFSET(TH!M$1,SMALL(Dong1,ROWS($1:139)),),0))</f>
        <v/>
      </c>
      <c r="I152" s="114">
        <f t="shared" ca="1" si="2"/>
        <v>0</v>
      </c>
      <c r="J152" s="119"/>
    </row>
    <row r="153" spans="1:10" ht="19.5" customHeight="1">
      <c r="A153" s="113" t="str">
        <f ca="1">IF(ROWS($1:140)&gt;COUNT(Dong1),"",OFFSET(TH!C$1,SMALL(Dong1,ROWS($1:140)),))</f>
        <v/>
      </c>
      <c r="B153" s="113" t="str">
        <f ca="1">IF(ROWS($1:140)&gt;COUNT(Dong1),"",OFFSET(TH!E$1,SMALL(Dong1,ROWS($1:140)),))</f>
        <v/>
      </c>
      <c r="C153" s="114" t="str">
        <f ca="1">IF(ROWS($1:140)&gt;COUNT(Dong1),"",IF(OFFSET(TH!N$1,SMALL(Dong1,ROWS($1:140)),)="1111",OFFSET(TH!D$1,SMALL(Dong1,ROWS($1:140)),),""))</f>
        <v/>
      </c>
      <c r="D153" s="115" t="str">
        <f ca="1">IF(ROWS($1:140)&gt;COUNT(Dong1),"",IF(OFFSET(TH!O$1,SMALL(Dong1,ROWS($1:140)),)="1111",OFFSET(TH!D$1,SMALL(Dong1,ROWS($1:140)),),""))</f>
        <v/>
      </c>
      <c r="E153" s="166" t="str">
        <f ca="1">IF(ROWS($1:140)&gt;COUNT(Dong1),"",OFFSET(TH!F$1,SMALL(Dong1,ROWS($1:140)),))</f>
        <v/>
      </c>
      <c r="F153" s="117" t="str">
        <f ca="1">IF(ROWS($1:140)&gt;COUNT(Dong1),"",IF(OFFSET(TH!O$1,SMALL(Dong1,ROWS($1:140)),)="1111",OFFSET(TH!N$1,SMALL(Dong1,ROWS($1:140)),),OFFSET(TH!O$1,SMALL(Dong1,ROWS($1:140)),)))</f>
        <v/>
      </c>
      <c r="G153" s="118" t="str">
        <f ca="1">IF(ROWS($1:140)&gt;COUNT(Dong1),"",IF(OFFSET(TH!N$1,SMALL(Dong1,ROWS($1:140)),)="1111",OFFSET(TH!M$1,SMALL(Dong1,ROWS($1:140)),),0))</f>
        <v/>
      </c>
      <c r="H153" s="116" t="str">
        <f ca="1">IF(ROWS($1:140)&gt;COUNT(Dong1),"",IF(OFFSET(TH!O$1,SMALL(Dong1,ROWS($1:140)),)="1111",OFFSET(TH!M$1,SMALL(Dong1,ROWS($1:140)),),0))</f>
        <v/>
      </c>
      <c r="I153" s="114">
        <f t="shared" ca="1" si="2"/>
        <v>0</v>
      </c>
      <c r="J153" s="119"/>
    </row>
    <row r="154" spans="1:10" ht="19.5" customHeight="1">
      <c r="A154" s="113" t="str">
        <f ca="1">IF(ROWS($1:141)&gt;COUNT(Dong1),"",OFFSET(TH!C$1,SMALL(Dong1,ROWS($1:141)),))</f>
        <v/>
      </c>
      <c r="B154" s="113" t="str">
        <f ca="1">IF(ROWS($1:141)&gt;COUNT(Dong1),"",OFFSET(TH!E$1,SMALL(Dong1,ROWS($1:141)),))</f>
        <v/>
      </c>
      <c r="C154" s="114" t="str">
        <f ca="1">IF(ROWS($1:141)&gt;COUNT(Dong1),"",IF(OFFSET(TH!N$1,SMALL(Dong1,ROWS($1:141)),)="1111",OFFSET(TH!D$1,SMALL(Dong1,ROWS($1:141)),),""))</f>
        <v/>
      </c>
      <c r="D154" s="115" t="str">
        <f ca="1">IF(ROWS($1:141)&gt;COUNT(Dong1),"",IF(OFFSET(TH!O$1,SMALL(Dong1,ROWS($1:141)),)="1111",OFFSET(TH!D$1,SMALL(Dong1,ROWS($1:141)),),""))</f>
        <v/>
      </c>
      <c r="E154" s="166" t="str">
        <f ca="1">IF(ROWS($1:141)&gt;COUNT(Dong1),"",OFFSET(TH!F$1,SMALL(Dong1,ROWS($1:141)),))</f>
        <v/>
      </c>
      <c r="F154" s="117" t="str">
        <f ca="1">IF(ROWS($1:141)&gt;COUNT(Dong1),"",IF(OFFSET(TH!O$1,SMALL(Dong1,ROWS($1:141)),)="1111",OFFSET(TH!N$1,SMALL(Dong1,ROWS($1:141)),),OFFSET(TH!O$1,SMALL(Dong1,ROWS($1:141)),)))</f>
        <v/>
      </c>
      <c r="G154" s="118" t="str">
        <f ca="1">IF(ROWS($1:141)&gt;COUNT(Dong1),"",IF(OFFSET(TH!N$1,SMALL(Dong1,ROWS($1:141)),)="1111",OFFSET(TH!M$1,SMALL(Dong1,ROWS($1:141)),),0))</f>
        <v/>
      </c>
      <c r="H154" s="116" t="str">
        <f ca="1">IF(ROWS($1:141)&gt;COUNT(Dong1),"",IF(OFFSET(TH!O$1,SMALL(Dong1,ROWS($1:141)),)="1111",OFFSET(TH!M$1,SMALL(Dong1,ROWS($1:141)),),0))</f>
        <v/>
      </c>
      <c r="I154" s="114">
        <f t="shared" ca="1" si="2"/>
        <v>0</v>
      </c>
      <c r="J154" s="119"/>
    </row>
    <row r="155" spans="1:10" ht="19.5" customHeight="1">
      <c r="A155" s="113" t="str">
        <f ca="1">IF(ROWS($1:142)&gt;COUNT(Dong1),"",OFFSET(TH!C$1,SMALL(Dong1,ROWS($1:142)),))</f>
        <v/>
      </c>
      <c r="B155" s="113" t="str">
        <f ca="1">IF(ROWS($1:142)&gt;COUNT(Dong1),"",OFFSET(TH!E$1,SMALL(Dong1,ROWS($1:142)),))</f>
        <v/>
      </c>
      <c r="C155" s="114" t="str">
        <f ca="1">IF(ROWS($1:142)&gt;COUNT(Dong1),"",IF(OFFSET(TH!N$1,SMALL(Dong1,ROWS($1:142)),)="1111",OFFSET(TH!D$1,SMALL(Dong1,ROWS($1:142)),),""))</f>
        <v/>
      </c>
      <c r="D155" s="115" t="str">
        <f ca="1">IF(ROWS($1:142)&gt;COUNT(Dong1),"",IF(OFFSET(TH!O$1,SMALL(Dong1,ROWS($1:142)),)="1111",OFFSET(TH!D$1,SMALL(Dong1,ROWS($1:142)),),""))</f>
        <v/>
      </c>
      <c r="E155" s="166" t="str">
        <f ca="1">IF(ROWS($1:142)&gt;COUNT(Dong1),"",OFFSET(TH!F$1,SMALL(Dong1,ROWS($1:142)),))</f>
        <v/>
      </c>
      <c r="F155" s="117" t="str">
        <f ca="1">IF(ROWS($1:142)&gt;COUNT(Dong1),"",IF(OFFSET(TH!O$1,SMALL(Dong1,ROWS($1:142)),)="1111",OFFSET(TH!N$1,SMALL(Dong1,ROWS($1:142)),),OFFSET(TH!O$1,SMALL(Dong1,ROWS($1:142)),)))</f>
        <v/>
      </c>
      <c r="G155" s="118" t="str">
        <f ca="1">IF(ROWS($1:142)&gt;COUNT(Dong1),"",IF(OFFSET(TH!N$1,SMALL(Dong1,ROWS($1:142)),)="1111",OFFSET(TH!M$1,SMALL(Dong1,ROWS($1:142)),),0))</f>
        <v/>
      </c>
      <c r="H155" s="116" t="str">
        <f ca="1">IF(ROWS($1:142)&gt;COUNT(Dong1),"",IF(OFFSET(TH!O$1,SMALL(Dong1,ROWS($1:142)),)="1111",OFFSET(TH!M$1,SMALL(Dong1,ROWS($1:142)),),0))</f>
        <v/>
      </c>
      <c r="I155" s="114">
        <f t="shared" ca="1" si="2"/>
        <v>0</v>
      </c>
      <c r="J155" s="119"/>
    </row>
    <row r="156" spans="1:10" ht="19.5" customHeight="1">
      <c r="A156" s="113" t="str">
        <f ca="1">IF(ROWS($1:143)&gt;COUNT(Dong1),"",OFFSET(TH!C$1,SMALL(Dong1,ROWS($1:143)),))</f>
        <v/>
      </c>
      <c r="B156" s="113" t="str">
        <f ca="1">IF(ROWS($1:143)&gt;COUNT(Dong1),"",OFFSET(TH!E$1,SMALL(Dong1,ROWS($1:143)),))</f>
        <v/>
      </c>
      <c r="C156" s="114" t="str">
        <f ca="1">IF(ROWS($1:143)&gt;COUNT(Dong1),"",IF(OFFSET(TH!N$1,SMALL(Dong1,ROWS($1:143)),)="1111",OFFSET(TH!D$1,SMALL(Dong1,ROWS($1:143)),),""))</f>
        <v/>
      </c>
      <c r="D156" s="115" t="str">
        <f ca="1">IF(ROWS($1:143)&gt;COUNT(Dong1),"",IF(OFFSET(TH!O$1,SMALL(Dong1,ROWS($1:143)),)="1111",OFFSET(TH!D$1,SMALL(Dong1,ROWS($1:143)),),""))</f>
        <v/>
      </c>
      <c r="E156" s="166" t="str">
        <f ca="1">IF(ROWS($1:143)&gt;COUNT(Dong1),"",OFFSET(TH!F$1,SMALL(Dong1,ROWS($1:143)),))</f>
        <v/>
      </c>
      <c r="F156" s="117" t="str">
        <f ca="1">IF(ROWS($1:143)&gt;COUNT(Dong1),"",IF(OFFSET(TH!O$1,SMALL(Dong1,ROWS($1:143)),)="1111",OFFSET(TH!N$1,SMALL(Dong1,ROWS($1:143)),),OFFSET(TH!O$1,SMALL(Dong1,ROWS($1:143)),)))</f>
        <v/>
      </c>
      <c r="G156" s="118" t="str">
        <f ca="1">IF(ROWS($1:143)&gt;COUNT(Dong1),"",IF(OFFSET(TH!N$1,SMALL(Dong1,ROWS($1:143)),)="1111",OFFSET(TH!M$1,SMALL(Dong1,ROWS($1:143)),),0))</f>
        <v/>
      </c>
      <c r="H156" s="116" t="str">
        <f ca="1">IF(ROWS($1:143)&gt;COUNT(Dong1),"",IF(OFFSET(TH!O$1,SMALL(Dong1,ROWS($1:143)),)="1111",OFFSET(TH!M$1,SMALL(Dong1,ROWS($1:143)),),0))</f>
        <v/>
      </c>
      <c r="I156" s="114">
        <f t="shared" ca="1" si="2"/>
        <v>0</v>
      </c>
      <c r="J156" s="119"/>
    </row>
    <row r="157" spans="1:10" ht="19.5" customHeight="1">
      <c r="A157" s="113" t="str">
        <f ca="1">IF(ROWS($1:144)&gt;COUNT(Dong1),"",OFFSET(TH!C$1,SMALL(Dong1,ROWS($1:144)),))</f>
        <v/>
      </c>
      <c r="B157" s="113" t="str">
        <f ca="1">IF(ROWS($1:144)&gt;COUNT(Dong1),"",OFFSET(TH!E$1,SMALL(Dong1,ROWS($1:144)),))</f>
        <v/>
      </c>
      <c r="C157" s="114" t="str">
        <f ca="1">IF(ROWS($1:144)&gt;COUNT(Dong1),"",IF(OFFSET(TH!N$1,SMALL(Dong1,ROWS($1:144)),)="1111",OFFSET(TH!D$1,SMALL(Dong1,ROWS($1:144)),),""))</f>
        <v/>
      </c>
      <c r="D157" s="115" t="str">
        <f ca="1">IF(ROWS($1:144)&gt;COUNT(Dong1),"",IF(OFFSET(TH!O$1,SMALL(Dong1,ROWS($1:144)),)="1111",OFFSET(TH!D$1,SMALL(Dong1,ROWS($1:144)),),""))</f>
        <v/>
      </c>
      <c r="E157" s="166" t="str">
        <f ca="1">IF(ROWS($1:144)&gt;COUNT(Dong1),"",OFFSET(TH!F$1,SMALL(Dong1,ROWS($1:144)),))</f>
        <v/>
      </c>
      <c r="F157" s="117" t="str">
        <f ca="1">IF(ROWS($1:144)&gt;COUNT(Dong1),"",IF(OFFSET(TH!O$1,SMALL(Dong1,ROWS($1:144)),)="1111",OFFSET(TH!N$1,SMALL(Dong1,ROWS($1:144)),),OFFSET(TH!O$1,SMALL(Dong1,ROWS($1:144)),)))</f>
        <v/>
      </c>
      <c r="G157" s="118" t="str">
        <f ca="1">IF(ROWS($1:144)&gt;COUNT(Dong1),"",IF(OFFSET(TH!N$1,SMALL(Dong1,ROWS($1:144)),)="1111",OFFSET(TH!M$1,SMALL(Dong1,ROWS($1:144)),),0))</f>
        <v/>
      </c>
      <c r="H157" s="116" t="str">
        <f ca="1">IF(ROWS($1:144)&gt;COUNT(Dong1),"",IF(OFFSET(TH!O$1,SMALL(Dong1,ROWS($1:144)),)="1111",OFFSET(TH!M$1,SMALL(Dong1,ROWS($1:144)),),0))</f>
        <v/>
      </c>
      <c r="I157" s="114">
        <f t="shared" ca="1" si="2"/>
        <v>0</v>
      </c>
      <c r="J157" s="119"/>
    </row>
    <row r="158" spans="1:10" ht="19.5" customHeight="1">
      <c r="A158" s="113" t="str">
        <f ca="1">IF(ROWS($1:145)&gt;COUNT(Dong1),"",OFFSET(TH!C$1,SMALL(Dong1,ROWS($1:145)),))</f>
        <v/>
      </c>
      <c r="B158" s="113" t="str">
        <f ca="1">IF(ROWS($1:145)&gt;COUNT(Dong1),"",OFFSET(TH!E$1,SMALL(Dong1,ROWS($1:145)),))</f>
        <v/>
      </c>
      <c r="C158" s="114" t="str">
        <f ca="1">IF(ROWS($1:145)&gt;COUNT(Dong1),"",IF(OFFSET(TH!N$1,SMALL(Dong1,ROWS($1:145)),)="1111",OFFSET(TH!D$1,SMALL(Dong1,ROWS($1:145)),),""))</f>
        <v/>
      </c>
      <c r="D158" s="115" t="str">
        <f ca="1">IF(ROWS($1:145)&gt;COUNT(Dong1),"",IF(OFFSET(TH!O$1,SMALL(Dong1,ROWS($1:145)),)="1111",OFFSET(TH!D$1,SMALL(Dong1,ROWS($1:145)),),""))</f>
        <v/>
      </c>
      <c r="E158" s="166" t="str">
        <f ca="1">IF(ROWS($1:145)&gt;COUNT(Dong1),"",OFFSET(TH!F$1,SMALL(Dong1,ROWS($1:145)),))</f>
        <v/>
      </c>
      <c r="F158" s="117" t="str">
        <f ca="1">IF(ROWS($1:145)&gt;COUNT(Dong1),"",IF(OFFSET(TH!O$1,SMALL(Dong1,ROWS($1:145)),)="1111",OFFSET(TH!N$1,SMALL(Dong1,ROWS($1:145)),),OFFSET(TH!O$1,SMALL(Dong1,ROWS($1:145)),)))</f>
        <v/>
      </c>
      <c r="G158" s="118" t="str">
        <f ca="1">IF(ROWS($1:145)&gt;COUNT(Dong1),"",IF(OFFSET(TH!N$1,SMALL(Dong1,ROWS($1:145)),)="1111",OFFSET(TH!M$1,SMALL(Dong1,ROWS($1:145)),),0))</f>
        <v/>
      </c>
      <c r="H158" s="116" t="str">
        <f ca="1">IF(ROWS($1:145)&gt;COUNT(Dong1),"",IF(OFFSET(TH!O$1,SMALL(Dong1,ROWS($1:145)),)="1111",OFFSET(TH!M$1,SMALL(Dong1,ROWS($1:145)),),0))</f>
        <v/>
      </c>
      <c r="I158" s="114">
        <f t="shared" ca="1" si="2"/>
        <v>0</v>
      </c>
      <c r="J158" s="119"/>
    </row>
    <row r="159" spans="1:10" ht="19.5" customHeight="1">
      <c r="A159" s="113" t="str">
        <f ca="1">IF(ROWS($1:146)&gt;COUNT(Dong1),"",OFFSET(TH!C$1,SMALL(Dong1,ROWS($1:146)),))</f>
        <v/>
      </c>
      <c r="B159" s="113" t="str">
        <f ca="1">IF(ROWS($1:146)&gt;COUNT(Dong1),"",OFFSET(TH!E$1,SMALL(Dong1,ROWS($1:146)),))</f>
        <v/>
      </c>
      <c r="C159" s="114" t="str">
        <f ca="1">IF(ROWS($1:146)&gt;COUNT(Dong1),"",IF(OFFSET(TH!N$1,SMALL(Dong1,ROWS($1:146)),)="1111",OFFSET(TH!D$1,SMALL(Dong1,ROWS($1:146)),),""))</f>
        <v/>
      </c>
      <c r="D159" s="115" t="str">
        <f ca="1">IF(ROWS($1:146)&gt;COUNT(Dong1),"",IF(OFFSET(TH!O$1,SMALL(Dong1,ROWS($1:146)),)="1111",OFFSET(TH!D$1,SMALL(Dong1,ROWS($1:146)),),""))</f>
        <v/>
      </c>
      <c r="E159" s="166" t="str">
        <f ca="1">IF(ROWS($1:146)&gt;COUNT(Dong1),"",OFFSET(TH!F$1,SMALL(Dong1,ROWS($1:146)),))</f>
        <v/>
      </c>
      <c r="F159" s="117" t="str">
        <f ca="1">IF(ROWS($1:146)&gt;COUNT(Dong1),"",IF(OFFSET(TH!O$1,SMALL(Dong1,ROWS($1:146)),)="1111",OFFSET(TH!N$1,SMALL(Dong1,ROWS($1:146)),),OFFSET(TH!O$1,SMALL(Dong1,ROWS($1:146)),)))</f>
        <v/>
      </c>
      <c r="G159" s="118" t="str">
        <f ca="1">IF(ROWS($1:146)&gt;COUNT(Dong1),"",IF(OFFSET(TH!N$1,SMALL(Dong1,ROWS($1:146)),)="1111",OFFSET(TH!M$1,SMALL(Dong1,ROWS($1:146)),),0))</f>
        <v/>
      </c>
      <c r="H159" s="116" t="str">
        <f ca="1">IF(ROWS($1:146)&gt;COUNT(Dong1),"",IF(OFFSET(TH!O$1,SMALL(Dong1,ROWS($1:146)),)="1111",OFFSET(TH!M$1,SMALL(Dong1,ROWS($1:146)),),0))</f>
        <v/>
      </c>
      <c r="I159" s="114">
        <f t="shared" ca="1" si="2"/>
        <v>0</v>
      </c>
      <c r="J159" s="119"/>
    </row>
    <row r="160" spans="1:10" ht="19.5" customHeight="1">
      <c r="A160" s="113" t="str">
        <f ca="1">IF(ROWS($1:147)&gt;COUNT(Dong1),"",OFFSET(TH!C$1,SMALL(Dong1,ROWS($1:147)),))</f>
        <v/>
      </c>
      <c r="B160" s="113" t="str">
        <f ca="1">IF(ROWS($1:147)&gt;COUNT(Dong1),"",OFFSET(TH!E$1,SMALL(Dong1,ROWS($1:147)),))</f>
        <v/>
      </c>
      <c r="C160" s="114" t="str">
        <f ca="1">IF(ROWS($1:147)&gt;COUNT(Dong1),"",IF(OFFSET(TH!N$1,SMALL(Dong1,ROWS($1:147)),)="1111",OFFSET(TH!D$1,SMALL(Dong1,ROWS($1:147)),),""))</f>
        <v/>
      </c>
      <c r="D160" s="115" t="str">
        <f ca="1">IF(ROWS($1:147)&gt;COUNT(Dong1),"",IF(OFFSET(TH!O$1,SMALL(Dong1,ROWS($1:147)),)="1111",OFFSET(TH!D$1,SMALL(Dong1,ROWS($1:147)),),""))</f>
        <v/>
      </c>
      <c r="E160" s="166" t="str">
        <f ca="1">IF(ROWS($1:147)&gt;COUNT(Dong1),"",OFFSET(TH!F$1,SMALL(Dong1,ROWS($1:147)),))</f>
        <v/>
      </c>
      <c r="F160" s="117" t="str">
        <f ca="1">IF(ROWS($1:147)&gt;COUNT(Dong1),"",IF(OFFSET(TH!O$1,SMALL(Dong1,ROWS($1:147)),)="1111",OFFSET(TH!N$1,SMALL(Dong1,ROWS($1:147)),),OFFSET(TH!O$1,SMALL(Dong1,ROWS($1:147)),)))</f>
        <v/>
      </c>
      <c r="G160" s="118" t="str">
        <f ca="1">IF(ROWS($1:147)&gt;COUNT(Dong1),"",IF(OFFSET(TH!N$1,SMALL(Dong1,ROWS($1:147)),)="1111",OFFSET(TH!M$1,SMALL(Dong1,ROWS($1:147)),),0))</f>
        <v/>
      </c>
      <c r="H160" s="116" t="str">
        <f ca="1">IF(ROWS($1:147)&gt;COUNT(Dong1),"",IF(OFFSET(TH!O$1,SMALL(Dong1,ROWS($1:147)),)="1111",OFFSET(TH!M$1,SMALL(Dong1,ROWS($1:147)),),0))</f>
        <v/>
      </c>
      <c r="I160" s="114">
        <f t="shared" ca="1" si="2"/>
        <v>0</v>
      </c>
      <c r="J160" s="119"/>
    </row>
    <row r="161" spans="1:10" ht="19.5" customHeight="1">
      <c r="A161" s="113" t="str">
        <f ca="1">IF(ROWS($1:148)&gt;COUNT(Dong1),"",OFFSET(TH!C$1,SMALL(Dong1,ROWS($1:148)),))</f>
        <v/>
      </c>
      <c r="B161" s="113" t="str">
        <f ca="1">IF(ROWS($1:148)&gt;COUNT(Dong1),"",OFFSET(TH!E$1,SMALL(Dong1,ROWS($1:148)),))</f>
        <v/>
      </c>
      <c r="C161" s="114" t="str">
        <f ca="1">IF(ROWS($1:148)&gt;COUNT(Dong1),"",IF(OFFSET(TH!N$1,SMALL(Dong1,ROWS($1:148)),)="1111",OFFSET(TH!D$1,SMALL(Dong1,ROWS($1:148)),),""))</f>
        <v/>
      </c>
      <c r="D161" s="115" t="str">
        <f ca="1">IF(ROWS($1:148)&gt;COUNT(Dong1),"",IF(OFFSET(TH!O$1,SMALL(Dong1,ROWS($1:148)),)="1111",OFFSET(TH!D$1,SMALL(Dong1,ROWS($1:148)),),""))</f>
        <v/>
      </c>
      <c r="E161" s="166" t="str">
        <f ca="1">IF(ROWS($1:148)&gt;COUNT(Dong1),"",OFFSET(TH!F$1,SMALL(Dong1,ROWS($1:148)),))</f>
        <v/>
      </c>
      <c r="F161" s="117" t="str">
        <f ca="1">IF(ROWS($1:148)&gt;COUNT(Dong1),"",IF(OFFSET(TH!O$1,SMALL(Dong1,ROWS($1:148)),)="1111",OFFSET(TH!N$1,SMALL(Dong1,ROWS($1:148)),),OFFSET(TH!O$1,SMALL(Dong1,ROWS($1:148)),)))</f>
        <v/>
      </c>
      <c r="G161" s="118" t="str">
        <f ca="1">IF(ROWS($1:148)&gt;COUNT(Dong1),"",IF(OFFSET(TH!N$1,SMALL(Dong1,ROWS($1:148)),)="1111",OFFSET(TH!M$1,SMALL(Dong1,ROWS($1:148)),),0))</f>
        <v/>
      </c>
      <c r="H161" s="116" t="str">
        <f ca="1">IF(ROWS($1:148)&gt;COUNT(Dong1),"",IF(OFFSET(TH!O$1,SMALL(Dong1,ROWS($1:148)),)="1111",OFFSET(TH!M$1,SMALL(Dong1,ROWS($1:148)),),0))</f>
        <v/>
      </c>
      <c r="I161" s="114">
        <f t="shared" ca="1" si="2"/>
        <v>0</v>
      </c>
      <c r="J161" s="119"/>
    </row>
    <row r="162" spans="1:10" ht="19.5" customHeight="1">
      <c r="A162" s="113" t="str">
        <f ca="1">IF(ROWS($1:149)&gt;COUNT(Dong1),"",OFFSET(TH!C$1,SMALL(Dong1,ROWS($1:149)),))</f>
        <v/>
      </c>
      <c r="B162" s="113" t="str">
        <f ca="1">IF(ROWS($1:149)&gt;COUNT(Dong1),"",OFFSET(TH!E$1,SMALL(Dong1,ROWS($1:149)),))</f>
        <v/>
      </c>
      <c r="C162" s="114" t="str">
        <f ca="1">IF(ROWS($1:149)&gt;COUNT(Dong1),"",IF(OFFSET(TH!N$1,SMALL(Dong1,ROWS($1:149)),)="1111",OFFSET(TH!D$1,SMALL(Dong1,ROWS($1:149)),),""))</f>
        <v/>
      </c>
      <c r="D162" s="115" t="str">
        <f ca="1">IF(ROWS($1:149)&gt;COUNT(Dong1),"",IF(OFFSET(TH!O$1,SMALL(Dong1,ROWS($1:149)),)="1111",OFFSET(TH!D$1,SMALL(Dong1,ROWS($1:149)),),""))</f>
        <v/>
      </c>
      <c r="E162" s="166" t="str">
        <f ca="1">IF(ROWS($1:149)&gt;COUNT(Dong1),"",OFFSET(TH!F$1,SMALL(Dong1,ROWS($1:149)),))</f>
        <v/>
      </c>
      <c r="F162" s="117" t="str">
        <f ca="1">IF(ROWS($1:149)&gt;COUNT(Dong1),"",IF(OFFSET(TH!O$1,SMALL(Dong1,ROWS($1:149)),)="1111",OFFSET(TH!N$1,SMALL(Dong1,ROWS($1:149)),),OFFSET(TH!O$1,SMALL(Dong1,ROWS($1:149)),)))</f>
        <v/>
      </c>
      <c r="G162" s="118" t="str">
        <f ca="1">IF(ROWS($1:149)&gt;COUNT(Dong1),"",IF(OFFSET(TH!N$1,SMALL(Dong1,ROWS($1:149)),)="1111",OFFSET(TH!M$1,SMALL(Dong1,ROWS($1:149)),),0))</f>
        <v/>
      </c>
      <c r="H162" s="116" t="str">
        <f ca="1">IF(ROWS($1:149)&gt;COUNT(Dong1),"",IF(OFFSET(TH!O$1,SMALL(Dong1,ROWS($1:149)),)="1111",OFFSET(TH!M$1,SMALL(Dong1,ROWS($1:149)),),0))</f>
        <v/>
      </c>
      <c r="I162" s="114">
        <f t="shared" ca="1" si="2"/>
        <v>0</v>
      </c>
      <c r="J162" s="119"/>
    </row>
    <row r="163" spans="1:10" ht="19.5" customHeight="1">
      <c r="A163" s="113" t="str">
        <f ca="1">IF(ROWS($1:150)&gt;COUNT(Dong1),"",OFFSET(TH!C$1,SMALL(Dong1,ROWS($1:150)),))</f>
        <v/>
      </c>
      <c r="B163" s="113" t="str">
        <f ca="1">IF(ROWS($1:150)&gt;COUNT(Dong1),"",OFFSET(TH!E$1,SMALL(Dong1,ROWS($1:150)),))</f>
        <v/>
      </c>
      <c r="C163" s="114" t="str">
        <f ca="1">IF(ROWS($1:150)&gt;COUNT(Dong1),"",IF(OFFSET(TH!N$1,SMALL(Dong1,ROWS($1:150)),)="1111",OFFSET(TH!D$1,SMALL(Dong1,ROWS($1:150)),),""))</f>
        <v/>
      </c>
      <c r="D163" s="115" t="str">
        <f ca="1">IF(ROWS($1:150)&gt;COUNT(Dong1),"",IF(OFFSET(TH!O$1,SMALL(Dong1,ROWS($1:150)),)="1111",OFFSET(TH!D$1,SMALL(Dong1,ROWS($1:150)),),""))</f>
        <v/>
      </c>
      <c r="E163" s="166" t="str">
        <f ca="1">IF(ROWS($1:150)&gt;COUNT(Dong1),"",OFFSET(TH!F$1,SMALL(Dong1,ROWS($1:150)),))</f>
        <v/>
      </c>
      <c r="F163" s="117" t="str">
        <f ca="1">IF(ROWS($1:150)&gt;COUNT(Dong1),"",IF(OFFSET(TH!O$1,SMALL(Dong1,ROWS($1:150)),)="1111",OFFSET(TH!N$1,SMALL(Dong1,ROWS($1:150)),),OFFSET(TH!O$1,SMALL(Dong1,ROWS($1:150)),)))</f>
        <v/>
      </c>
      <c r="G163" s="118" t="str">
        <f ca="1">IF(ROWS($1:150)&gt;COUNT(Dong1),"",IF(OFFSET(TH!N$1,SMALL(Dong1,ROWS($1:150)),)="1111",OFFSET(TH!M$1,SMALL(Dong1,ROWS($1:150)),),0))</f>
        <v/>
      </c>
      <c r="H163" s="116" t="str">
        <f ca="1">IF(ROWS($1:150)&gt;COUNT(Dong1),"",IF(OFFSET(TH!O$1,SMALL(Dong1,ROWS($1:150)),)="1111",OFFSET(TH!M$1,SMALL(Dong1,ROWS($1:150)),),0))</f>
        <v/>
      </c>
      <c r="I163" s="114">
        <f t="shared" ca="1" si="2"/>
        <v>0</v>
      </c>
      <c r="J163" s="119"/>
    </row>
    <row r="164" spans="1:10" ht="19.5" customHeight="1">
      <c r="A164" s="113" t="str">
        <f ca="1">IF(ROWS($1:151)&gt;COUNT(Dong1),"",OFFSET(TH!C$1,SMALL(Dong1,ROWS($1:151)),))</f>
        <v/>
      </c>
      <c r="B164" s="113" t="str">
        <f ca="1">IF(ROWS($1:151)&gt;COUNT(Dong1),"",OFFSET(TH!E$1,SMALL(Dong1,ROWS($1:151)),))</f>
        <v/>
      </c>
      <c r="C164" s="114" t="str">
        <f ca="1">IF(ROWS($1:151)&gt;COUNT(Dong1),"",IF(OFFSET(TH!N$1,SMALL(Dong1,ROWS($1:151)),)="1111",OFFSET(TH!D$1,SMALL(Dong1,ROWS($1:151)),),""))</f>
        <v/>
      </c>
      <c r="D164" s="115" t="str">
        <f ca="1">IF(ROWS($1:151)&gt;COUNT(Dong1),"",IF(OFFSET(TH!O$1,SMALL(Dong1,ROWS($1:151)),)="1111",OFFSET(TH!D$1,SMALL(Dong1,ROWS($1:151)),),""))</f>
        <v/>
      </c>
      <c r="E164" s="166" t="str">
        <f ca="1">IF(ROWS($1:151)&gt;COUNT(Dong1),"",OFFSET(TH!F$1,SMALL(Dong1,ROWS($1:151)),))</f>
        <v/>
      </c>
      <c r="F164" s="117" t="str">
        <f ca="1">IF(ROWS($1:151)&gt;COUNT(Dong1),"",IF(OFFSET(TH!O$1,SMALL(Dong1,ROWS($1:151)),)="1111",OFFSET(TH!N$1,SMALL(Dong1,ROWS($1:151)),),OFFSET(TH!O$1,SMALL(Dong1,ROWS($1:151)),)))</f>
        <v/>
      </c>
      <c r="G164" s="118" t="str">
        <f ca="1">IF(ROWS($1:151)&gt;COUNT(Dong1),"",IF(OFFSET(TH!N$1,SMALL(Dong1,ROWS($1:151)),)="1111",OFFSET(TH!M$1,SMALL(Dong1,ROWS($1:151)),),0))</f>
        <v/>
      </c>
      <c r="H164" s="116" t="str">
        <f ca="1">IF(ROWS($1:151)&gt;COUNT(Dong1),"",IF(OFFSET(TH!O$1,SMALL(Dong1,ROWS($1:151)),)="1111",OFFSET(TH!M$1,SMALL(Dong1,ROWS($1:151)),),0))</f>
        <v/>
      </c>
      <c r="I164" s="114">
        <f t="shared" ca="1" si="2"/>
        <v>0</v>
      </c>
      <c r="J164" s="119"/>
    </row>
    <row r="165" spans="1:10" ht="19.5" customHeight="1">
      <c r="A165" s="113" t="str">
        <f ca="1">IF(ROWS($1:152)&gt;COUNT(Dong1),"",OFFSET(TH!C$1,SMALL(Dong1,ROWS($1:152)),))</f>
        <v/>
      </c>
      <c r="B165" s="113" t="str">
        <f ca="1">IF(ROWS($1:152)&gt;COUNT(Dong1),"",OFFSET(TH!E$1,SMALL(Dong1,ROWS($1:152)),))</f>
        <v/>
      </c>
      <c r="C165" s="114" t="str">
        <f ca="1">IF(ROWS($1:152)&gt;COUNT(Dong1),"",IF(OFFSET(TH!N$1,SMALL(Dong1,ROWS($1:152)),)="1111",OFFSET(TH!D$1,SMALL(Dong1,ROWS($1:152)),),""))</f>
        <v/>
      </c>
      <c r="D165" s="115" t="str">
        <f ca="1">IF(ROWS($1:152)&gt;COUNT(Dong1),"",IF(OFFSET(TH!O$1,SMALL(Dong1,ROWS($1:152)),)="1111",OFFSET(TH!D$1,SMALL(Dong1,ROWS($1:152)),),""))</f>
        <v/>
      </c>
      <c r="E165" s="166" t="str">
        <f ca="1">IF(ROWS($1:152)&gt;COUNT(Dong1),"",OFFSET(TH!F$1,SMALL(Dong1,ROWS($1:152)),))</f>
        <v/>
      </c>
      <c r="F165" s="117" t="str">
        <f ca="1">IF(ROWS($1:152)&gt;COUNT(Dong1),"",IF(OFFSET(TH!O$1,SMALL(Dong1,ROWS($1:152)),)="1111",OFFSET(TH!N$1,SMALL(Dong1,ROWS($1:152)),),OFFSET(TH!O$1,SMALL(Dong1,ROWS($1:152)),)))</f>
        <v/>
      </c>
      <c r="G165" s="118" t="str">
        <f ca="1">IF(ROWS($1:152)&gt;COUNT(Dong1),"",IF(OFFSET(TH!N$1,SMALL(Dong1,ROWS($1:152)),)="1111",OFFSET(TH!M$1,SMALL(Dong1,ROWS($1:152)),),0))</f>
        <v/>
      </c>
      <c r="H165" s="116" t="str">
        <f ca="1">IF(ROWS($1:152)&gt;COUNT(Dong1),"",IF(OFFSET(TH!O$1,SMALL(Dong1,ROWS($1:152)),)="1111",OFFSET(TH!M$1,SMALL(Dong1,ROWS($1:152)),),0))</f>
        <v/>
      </c>
      <c r="I165" s="114">
        <f t="shared" ca="1" si="2"/>
        <v>0</v>
      </c>
      <c r="J165" s="119"/>
    </row>
    <row r="166" spans="1:10" ht="19.5" customHeight="1">
      <c r="A166" s="113" t="str">
        <f ca="1">IF(ROWS($1:153)&gt;COUNT(Dong1),"",OFFSET(TH!C$1,SMALL(Dong1,ROWS($1:153)),))</f>
        <v/>
      </c>
      <c r="B166" s="113" t="str">
        <f ca="1">IF(ROWS($1:153)&gt;COUNT(Dong1),"",OFFSET(TH!E$1,SMALL(Dong1,ROWS($1:153)),))</f>
        <v/>
      </c>
      <c r="C166" s="114" t="str">
        <f ca="1">IF(ROWS($1:153)&gt;COUNT(Dong1),"",IF(OFFSET(TH!N$1,SMALL(Dong1,ROWS($1:153)),)="1111",OFFSET(TH!D$1,SMALL(Dong1,ROWS($1:153)),),""))</f>
        <v/>
      </c>
      <c r="D166" s="115" t="str">
        <f ca="1">IF(ROWS($1:153)&gt;COUNT(Dong1),"",IF(OFFSET(TH!O$1,SMALL(Dong1,ROWS($1:153)),)="1111",OFFSET(TH!D$1,SMALL(Dong1,ROWS($1:153)),),""))</f>
        <v/>
      </c>
      <c r="E166" s="166" t="str">
        <f ca="1">IF(ROWS($1:153)&gt;COUNT(Dong1),"",OFFSET(TH!F$1,SMALL(Dong1,ROWS($1:153)),))</f>
        <v/>
      </c>
      <c r="F166" s="117" t="str">
        <f ca="1">IF(ROWS($1:153)&gt;COUNT(Dong1),"",IF(OFFSET(TH!O$1,SMALL(Dong1,ROWS($1:153)),)="1111",OFFSET(TH!N$1,SMALL(Dong1,ROWS($1:153)),),OFFSET(TH!O$1,SMALL(Dong1,ROWS($1:153)),)))</f>
        <v/>
      </c>
      <c r="G166" s="118" t="str">
        <f ca="1">IF(ROWS($1:153)&gt;COUNT(Dong1),"",IF(OFFSET(TH!N$1,SMALL(Dong1,ROWS($1:153)),)="1111",OFFSET(TH!M$1,SMALL(Dong1,ROWS($1:153)),),0))</f>
        <v/>
      </c>
      <c r="H166" s="116" t="str">
        <f ca="1">IF(ROWS($1:153)&gt;COUNT(Dong1),"",IF(OFFSET(TH!O$1,SMALL(Dong1,ROWS($1:153)),)="1111",OFFSET(TH!M$1,SMALL(Dong1,ROWS($1:153)),),0))</f>
        <v/>
      </c>
      <c r="I166" s="114">
        <f t="shared" ca="1" si="2"/>
        <v>0</v>
      </c>
      <c r="J166" s="119"/>
    </row>
    <row r="167" spans="1:10" ht="19.5" customHeight="1">
      <c r="A167" s="113" t="str">
        <f ca="1">IF(ROWS($1:154)&gt;COUNT(Dong1),"",OFFSET(TH!C$1,SMALL(Dong1,ROWS($1:154)),))</f>
        <v/>
      </c>
      <c r="B167" s="113" t="str">
        <f ca="1">IF(ROWS($1:154)&gt;COUNT(Dong1),"",OFFSET(TH!E$1,SMALL(Dong1,ROWS($1:154)),))</f>
        <v/>
      </c>
      <c r="C167" s="114" t="str">
        <f ca="1">IF(ROWS($1:154)&gt;COUNT(Dong1),"",IF(OFFSET(TH!N$1,SMALL(Dong1,ROWS($1:154)),)="1111",OFFSET(TH!D$1,SMALL(Dong1,ROWS($1:154)),),""))</f>
        <v/>
      </c>
      <c r="D167" s="115" t="str">
        <f ca="1">IF(ROWS($1:154)&gt;COUNT(Dong1),"",IF(OFFSET(TH!O$1,SMALL(Dong1,ROWS($1:154)),)="1111",OFFSET(TH!D$1,SMALL(Dong1,ROWS($1:154)),),""))</f>
        <v/>
      </c>
      <c r="E167" s="166" t="str">
        <f ca="1">IF(ROWS($1:154)&gt;COUNT(Dong1),"",OFFSET(TH!F$1,SMALL(Dong1,ROWS($1:154)),))</f>
        <v/>
      </c>
      <c r="F167" s="117" t="str">
        <f ca="1">IF(ROWS($1:154)&gt;COUNT(Dong1),"",IF(OFFSET(TH!O$1,SMALL(Dong1,ROWS($1:154)),)="1111",OFFSET(TH!N$1,SMALL(Dong1,ROWS($1:154)),),OFFSET(TH!O$1,SMALL(Dong1,ROWS($1:154)),)))</f>
        <v/>
      </c>
      <c r="G167" s="118" t="str">
        <f ca="1">IF(ROWS($1:154)&gt;COUNT(Dong1),"",IF(OFFSET(TH!N$1,SMALL(Dong1,ROWS($1:154)),)="1111",OFFSET(TH!M$1,SMALL(Dong1,ROWS($1:154)),),0))</f>
        <v/>
      </c>
      <c r="H167" s="116" t="str">
        <f ca="1">IF(ROWS($1:154)&gt;COUNT(Dong1),"",IF(OFFSET(TH!O$1,SMALL(Dong1,ROWS($1:154)),)="1111",OFFSET(TH!M$1,SMALL(Dong1,ROWS($1:154)),),0))</f>
        <v/>
      </c>
      <c r="I167" s="114">
        <f t="shared" ca="1" si="2"/>
        <v>0</v>
      </c>
      <c r="J167" s="119"/>
    </row>
    <row r="168" spans="1:10" ht="19.5" customHeight="1">
      <c r="A168" s="113" t="str">
        <f ca="1">IF(ROWS($1:155)&gt;COUNT(Dong1),"",OFFSET(TH!C$1,SMALL(Dong1,ROWS($1:155)),))</f>
        <v/>
      </c>
      <c r="B168" s="113" t="str">
        <f ca="1">IF(ROWS($1:155)&gt;COUNT(Dong1),"",OFFSET(TH!E$1,SMALL(Dong1,ROWS($1:155)),))</f>
        <v/>
      </c>
      <c r="C168" s="114" t="str">
        <f ca="1">IF(ROWS($1:155)&gt;COUNT(Dong1),"",IF(OFFSET(TH!N$1,SMALL(Dong1,ROWS($1:155)),)="1111",OFFSET(TH!D$1,SMALL(Dong1,ROWS($1:155)),),""))</f>
        <v/>
      </c>
      <c r="D168" s="115" t="str">
        <f ca="1">IF(ROWS($1:155)&gt;COUNT(Dong1),"",IF(OFFSET(TH!O$1,SMALL(Dong1,ROWS($1:155)),)="1111",OFFSET(TH!D$1,SMALL(Dong1,ROWS($1:155)),),""))</f>
        <v/>
      </c>
      <c r="E168" s="166" t="str">
        <f ca="1">IF(ROWS($1:155)&gt;COUNT(Dong1),"",OFFSET(TH!F$1,SMALL(Dong1,ROWS($1:155)),))</f>
        <v/>
      </c>
      <c r="F168" s="117" t="str">
        <f ca="1">IF(ROWS($1:155)&gt;COUNT(Dong1),"",IF(OFFSET(TH!O$1,SMALL(Dong1,ROWS($1:155)),)="1111",OFFSET(TH!N$1,SMALL(Dong1,ROWS($1:155)),),OFFSET(TH!O$1,SMALL(Dong1,ROWS($1:155)),)))</f>
        <v/>
      </c>
      <c r="G168" s="118" t="str">
        <f ca="1">IF(ROWS($1:155)&gt;COUNT(Dong1),"",IF(OFFSET(TH!N$1,SMALL(Dong1,ROWS($1:155)),)="1111",OFFSET(TH!M$1,SMALL(Dong1,ROWS($1:155)),),0))</f>
        <v/>
      </c>
      <c r="H168" s="116" t="str">
        <f ca="1">IF(ROWS($1:155)&gt;COUNT(Dong1),"",IF(OFFSET(TH!O$1,SMALL(Dong1,ROWS($1:155)),)="1111",OFFSET(TH!M$1,SMALL(Dong1,ROWS($1:155)),),0))</f>
        <v/>
      </c>
      <c r="I168" s="114">
        <f t="shared" ca="1" si="2"/>
        <v>0</v>
      </c>
      <c r="J168" s="119"/>
    </row>
    <row r="169" spans="1:10" ht="19.5" customHeight="1">
      <c r="A169" s="113" t="str">
        <f ca="1">IF(ROWS($1:156)&gt;COUNT(Dong1),"",OFFSET(TH!C$1,SMALL(Dong1,ROWS($1:156)),))</f>
        <v/>
      </c>
      <c r="B169" s="113" t="str">
        <f ca="1">IF(ROWS($1:156)&gt;COUNT(Dong1),"",OFFSET(TH!E$1,SMALL(Dong1,ROWS($1:156)),))</f>
        <v/>
      </c>
      <c r="C169" s="114" t="str">
        <f ca="1">IF(ROWS($1:156)&gt;COUNT(Dong1),"",IF(OFFSET(TH!N$1,SMALL(Dong1,ROWS($1:156)),)="1111",OFFSET(TH!D$1,SMALL(Dong1,ROWS($1:156)),),""))</f>
        <v/>
      </c>
      <c r="D169" s="115" t="str">
        <f ca="1">IF(ROWS($1:156)&gt;COUNT(Dong1),"",IF(OFFSET(TH!O$1,SMALL(Dong1,ROWS($1:156)),)="1111",OFFSET(TH!D$1,SMALL(Dong1,ROWS($1:156)),),""))</f>
        <v/>
      </c>
      <c r="E169" s="166" t="str">
        <f ca="1">IF(ROWS($1:156)&gt;COUNT(Dong1),"",OFFSET(TH!F$1,SMALL(Dong1,ROWS($1:156)),))</f>
        <v/>
      </c>
      <c r="F169" s="117" t="str">
        <f ca="1">IF(ROWS($1:156)&gt;COUNT(Dong1),"",IF(OFFSET(TH!O$1,SMALL(Dong1,ROWS($1:156)),)="1111",OFFSET(TH!N$1,SMALL(Dong1,ROWS($1:156)),),OFFSET(TH!O$1,SMALL(Dong1,ROWS($1:156)),)))</f>
        <v/>
      </c>
      <c r="G169" s="118" t="str">
        <f ca="1">IF(ROWS($1:156)&gt;COUNT(Dong1),"",IF(OFFSET(TH!N$1,SMALL(Dong1,ROWS($1:156)),)="1111",OFFSET(TH!M$1,SMALL(Dong1,ROWS($1:156)),),0))</f>
        <v/>
      </c>
      <c r="H169" s="116" t="str">
        <f ca="1">IF(ROWS($1:156)&gt;COUNT(Dong1),"",IF(OFFSET(TH!O$1,SMALL(Dong1,ROWS($1:156)),)="1111",OFFSET(TH!M$1,SMALL(Dong1,ROWS($1:156)),),0))</f>
        <v/>
      </c>
      <c r="I169" s="114">
        <f t="shared" ref="I169:I194" ca="1" si="3">IF(E169&lt;&gt;"",I168+G169-H169,0)</f>
        <v>0</v>
      </c>
      <c r="J169" s="119"/>
    </row>
    <row r="170" spans="1:10" ht="19.5" customHeight="1">
      <c r="A170" s="113" t="str">
        <f ca="1">IF(ROWS($1:157)&gt;COUNT(Dong1),"",OFFSET(TH!C$1,SMALL(Dong1,ROWS($1:157)),))</f>
        <v/>
      </c>
      <c r="B170" s="113" t="str">
        <f ca="1">IF(ROWS($1:157)&gt;COUNT(Dong1),"",OFFSET(TH!E$1,SMALL(Dong1,ROWS($1:157)),))</f>
        <v/>
      </c>
      <c r="C170" s="114" t="str">
        <f ca="1">IF(ROWS($1:157)&gt;COUNT(Dong1),"",IF(OFFSET(TH!N$1,SMALL(Dong1,ROWS($1:157)),)="1111",OFFSET(TH!D$1,SMALL(Dong1,ROWS($1:157)),),""))</f>
        <v/>
      </c>
      <c r="D170" s="115" t="str">
        <f ca="1">IF(ROWS($1:157)&gt;COUNT(Dong1),"",IF(OFFSET(TH!O$1,SMALL(Dong1,ROWS($1:157)),)="1111",OFFSET(TH!D$1,SMALL(Dong1,ROWS($1:157)),),""))</f>
        <v/>
      </c>
      <c r="E170" s="166" t="str">
        <f ca="1">IF(ROWS($1:157)&gt;COUNT(Dong1),"",OFFSET(TH!F$1,SMALL(Dong1,ROWS($1:157)),))</f>
        <v/>
      </c>
      <c r="F170" s="117" t="str">
        <f ca="1">IF(ROWS($1:157)&gt;COUNT(Dong1),"",IF(OFFSET(TH!O$1,SMALL(Dong1,ROWS($1:157)),)="1111",OFFSET(TH!N$1,SMALL(Dong1,ROWS($1:157)),),OFFSET(TH!O$1,SMALL(Dong1,ROWS($1:157)),)))</f>
        <v/>
      </c>
      <c r="G170" s="118" t="str">
        <f ca="1">IF(ROWS($1:157)&gt;COUNT(Dong1),"",IF(OFFSET(TH!N$1,SMALL(Dong1,ROWS($1:157)),)="1111",OFFSET(TH!M$1,SMALL(Dong1,ROWS($1:157)),),0))</f>
        <v/>
      </c>
      <c r="H170" s="116" t="str">
        <f ca="1">IF(ROWS($1:157)&gt;COUNT(Dong1),"",IF(OFFSET(TH!O$1,SMALL(Dong1,ROWS($1:157)),)="1111",OFFSET(TH!M$1,SMALL(Dong1,ROWS($1:157)),),0))</f>
        <v/>
      </c>
      <c r="I170" s="114">
        <f t="shared" ca="1" si="3"/>
        <v>0</v>
      </c>
      <c r="J170" s="119"/>
    </row>
    <row r="171" spans="1:10" ht="19.5" customHeight="1">
      <c r="A171" s="113" t="str">
        <f ca="1">IF(ROWS($1:158)&gt;COUNT(Dong1),"",OFFSET(TH!C$1,SMALL(Dong1,ROWS($1:158)),))</f>
        <v/>
      </c>
      <c r="B171" s="113" t="str">
        <f ca="1">IF(ROWS($1:158)&gt;COUNT(Dong1),"",OFFSET(TH!E$1,SMALL(Dong1,ROWS($1:158)),))</f>
        <v/>
      </c>
      <c r="C171" s="114" t="str">
        <f ca="1">IF(ROWS($1:158)&gt;COUNT(Dong1),"",IF(OFFSET(TH!N$1,SMALL(Dong1,ROWS($1:158)),)="1111",OFFSET(TH!D$1,SMALL(Dong1,ROWS($1:158)),),""))</f>
        <v/>
      </c>
      <c r="D171" s="115" t="str">
        <f ca="1">IF(ROWS($1:158)&gt;COUNT(Dong1),"",IF(OFFSET(TH!O$1,SMALL(Dong1,ROWS($1:158)),)="1111",OFFSET(TH!D$1,SMALL(Dong1,ROWS($1:158)),),""))</f>
        <v/>
      </c>
      <c r="E171" s="166" t="str">
        <f ca="1">IF(ROWS($1:158)&gt;COUNT(Dong1),"",OFFSET(TH!F$1,SMALL(Dong1,ROWS($1:158)),))</f>
        <v/>
      </c>
      <c r="F171" s="117" t="str">
        <f ca="1">IF(ROWS($1:158)&gt;COUNT(Dong1),"",IF(OFFSET(TH!O$1,SMALL(Dong1,ROWS($1:158)),)="1111",OFFSET(TH!N$1,SMALL(Dong1,ROWS($1:158)),),OFFSET(TH!O$1,SMALL(Dong1,ROWS($1:158)),)))</f>
        <v/>
      </c>
      <c r="G171" s="118" t="str">
        <f ca="1">IF(ROWS($1:158)&gt;COUNT(Dong1),"",IF(OFFSET(TH!N$1,SMALL(Dong1,ROWS($1:158)),)="1111",OFFSET(TH!M$1,SMALL(Dong1,ROWS($1:158)),),0))</f>
        <v/>
      </c>
      <c r="H171" s="116" t="str">
        <f ca="1">IF(ROWS($1:158)&gt;COUNT(Dong1),"",IF(OFFSET(TH!O$1,SMALL(Dong1,ROWS($1:158)),)="1111",OFFSET(TH!M$1,SMALL(Dong1,ROWS($1:158)),),0))</f>
        <v/>
      </c>
      <c r="I171" s="114">
        <f t="shared" ca="1" si="3"/>
        <v>0</v>
      </c>
      <c r="J171" s="119"/>
    </row>
    <row r="172" spans="1:10" ht="19.5" customHeight="1">
      <c r="A172" s="113" t="str">
        <f ca="1">IF(ROWS($1:159)&gt;COUNT(Dong1),"",OFFSET(TH!C$1,SMALL(Dong1,ROWS($1:159)),))</f>
        <v/>
      </c>
      <c r="B172" s="113" t="str">
        <f ca="1">IF(ROWS($1:159)&gt;COUNT(Dong1),"",OFFSET(TH!E$1,SMALL(Dong1,ROWS($1:159)),))</f>
        <v/>
      </c>
      <c r="C172" s="114" t="str">
        <f ca="1">IF(ROWS($1:159)&gt;COUNT(Dong1),"",IF(OFFSET(TH!N$1,SMALL(Dong1,ROWS($1:159)),)="1111",OFFSET(TH!D$1,SMALL(Dong1,ROWS($1:159)),),""))</f>
        <v/>
      </c>
      <c r="D172" s="115" t="str">
        <f ca="1">IF(ROWS($1:159)&gt;COUNT(Dong1),"",IF(OFFSET(TH!O$1,SMALL(Dong1,ROWS($1:159)),)="1111",OFFSET(TH!D$1,SMALL(Dong1,ROWS($1:159)),),""))</f>
        <v/>
      </c>
      <c r="E172" s="166" t="str">
        <f ca="1">IF(ROWS($1:159)&gt;COUNT(Dong1),"",OFFSET(TH!F$1,SMALL(Dong1,ROWS($1:159)),))</f>
        <v/>
      </c>
      <c r="F172" s="117" t="str">
        <f ca="1">IF(ROWS($1:159)&gt;COUNT(Dong1),"",IF(OFFSET(TH!O$1,SMALL(Dong1,ROWS($1:159)),)="1111",OFFSET(TH!N$1,SMALL(Dong1,ROWS($1:159)),),OFFSET(TH!O$1,SMALL(Dong1,ROWS($1:159)),)))</f>
        <v/>
      </c>
      <c r="G172" s="118" t="str">
        <f ca="1">IF(ROWS($1:159)&gt;COUNT(Dong1),"",IF(OFFSET(TH!N$1,SMALL(Dong1,ROWS($1:159)),)="1111",OFFSET(TH!M$1,SMALL(Dong1,ROWS($1:159)),),0))</f>
        <v/>
      </c>
      <c r="H172" s="116" t="str">
        <f ca="1">IF(ROWS($1:159)&gt;COUNT(Dong1),"",IF(OFFSET(TH!O$1,SMALL(Dong1,ROWS($1:159)),)="1111",OFFSET(TH!M$1,SMALL(Dong1,ROWS($1:159)),),0))</f>
        <v/>
      </c>
      <c r="I172" s="114">
        <f t="shared" ca="1" si="3"/>
        <v>0</v>
      </c>
      <c r="J172" s="119"/>
    </row>
    <row r="173" spans="1:10" ht="19.5" customHeight="1">
      <c r="A173" s="113" t="str">
        <f ca="1">IF(ROWS($1:160)&gt;COUNT(Dong1),"",OFFSET(TH!C$1,SMALL(Dong1,ROWS($1:160)),))</f>
        <v/>
      </c>
      <c r="B173" s="113" t="str">
        <f ca="1">IF(ROWS($1:160)&gt;COUNT(Dong1),"",OFFSET(TH!E$1,SMALL(Dong1,ROWS($1:160)),))</f>
        <v/>
      </c>
      <c r="C173" s="114" t="str">
        <f ca="1">IF(ROWS($1:160)&gt;COUNT(Dong1),"",IF(OFFSET(TH!N$1,SMALL(Dong1,ROWS($1:160)),)="1111",OFFSET(TH!D$1,SMALL(Dong1,ROWS($1:160)),),""))</f>
        <v/>
      </c>
      <c r="D173" s="115" t="str">
        <f ca="1">IF(ROWS($1:160)&gt;COUNT(Dong1),"",IF(OFFSET(TH!O$1,SMALL(Dong1,ROWS($1:160)),)="1111",OFFSET(TH!D$1,SMALL(Dong1,ROWS($1:160)),),""))</f>
        <v/>
      </c>
      <c r="E173" s="166" t="str">
        <f ca="1">IF(ROWS($1:160)&gt;COUNT(Dong1),"",OFFSET(TH!F$1,SMALL(Dong1,ROWS($1:160)),))</f>
        <v/>
      </c>
      <c r="F173" s="117" t="str">
        <f ca="1">IF(ROWS($1:160)&gt;COUNT(Dong1),"",IF(OFFSET(TH!O$1,SMALL(Dong1,ROWS($1:160)),)="1111",OFFSET(TH!N$1,SMALL(Dong1,ROWS($1:160)),),OFFSET(TH!O$1,SMALL(Dong1,ROWS($1:160)),)))</f>
        <v/>
      </c>
      <c r="G173" s="118" t="str">
        <f ca="1">IF(ROWS($1:160)&gt;COUNT(Dong1),"",IF(OFFSET(TH!N$1,SMALL(Dong1,ROWS($1:160)),)="1111",OFFSET(TH!M$1,SMALL(Dong1,ROWS($1:160)),),0))</f>
        <v/>
      </c>
      <c r="H173" s="116" t="str">
        <f ca="1">IF(ROWS($1:160)&gt;COUNT(Dong1),"",IF(OFFSET(TH!O$1,SMALL(Dong1,ROWS($1:160)),)="1111",OFFSET(TH!M$1,SMALL(Dong1,ROWS($1:160)),),0))</f>
        <v/>
      </c>
      <c r="I173" s="114">
        <f t="shared" ca="1" si="3"/>
        <v>0</v>
      </c>
      <c r="J173" s="119"/>
    </row>
    <row r="174" spans="1:10" ht="19.5" customHeight="1">
      <c r="A174" s="113" t="str">
        <f ca="1">IF(ROWS($1:161)&gt;COUNT(Dong1),"",OFFSET(TH!C$1,SMALL(Dong1,ROWS($1:161)),))</f>
        <v/>
      </c>
      <c r="B174" s="113" t="str">
        <f ca="1">IF(ROWS($1:161)&gt;COUNT(Dong1),"",OFFSET(TH!E$1,SMALL(Dong1,ROWS($1:161)),))</f>
        <v/>
      </c>
      <c r="C174" s="114" t="str">
        <f ca="1">IF(ROWS($1:161)&gt;COUNT(Dong1),"",IF(OFFSET(TH!N$1,SMALL(Dong1,ROWS($1:161)),)="1111",OFFSET(TH!D$1,SMALL(Dong1,ROWS($1:161)),),""))</f>
        <v/>
      </c>
      <c r="D174" s="115" t="str">
        <f ca="1">IF(ROWS($1:161)&gt;COUNT(Dong1),"",IF(OFFSET(TH!O$1,SMALL(Dong1,ROWS($1:161)),)="1111",OFFSET(TH!D$1,SMALL(Dong1,ROWS($1:161)),),""))</f>
        <v/>
      </c>
      <c r="E174" s="166" t="str">
        <f ca="1">IF(ROWS($1:161)&gt;COUNT(Dong1),"",OFFSET(TH!F$1,SMALL(Dong1,ROWS($1:161)),))</f>
        <v/>
      </c>
      <c r="F174" s="117" t="str">
        <f ca="1">IF(ROWS($1:161)&gt;COUNT(Dong1),"",IF(OFFSET(TH!O$1,SMALL(Dong1,ROWS($1:161)),)="1111",OFFSET(TH!N$1,SMALL(Dong1,ROWS($1:161)),),OFFSET(TH!O$1,SMALL(Dong1,ROWS($1:161)),)))</f>
        <v/>
      </c>
      <c r="G174" s="118" t="str">
        <f ca="1">IF(ROWS($1:161)&gt;COUNT(Dong1),"",IF(OFFSET(TH!N$1,SMALL(Dong1,ROWS($1:161)),)="1111",OFFSET(TH!M$1,SMALL(Dong1,ROWS($1:161)),),0))</f>
        <v/>
      </c>
      <c r="H174" s="116" t="str">
        <f ca="1">IF(ROWS($1:161)&gt;COUNT(Dong1),"",IF(OFFSET(TH!O$1,SMALL(Dong1,ROWS($1:161)),)="1111",OFFSET(TH!M$1,SMALL(Dong1,ROWS($1:161)),),0))</f>
        <v/>
      </c>
      <c r="I174" s="114">
        <f t="shared" ca="1" si="3"/>
        <v>0</v>
      </c>
      <c r="J174" s="119"/>
    </row>
    <row r="175" spans="1:10" ht="19.5" customHeight="1">
      <c r="A175" s="113" t="str">
        <f ca="1">IF(ROWS($1:162)&gt;COUNT(Dong1),"",OFFSET(TH!C$1,SMALL(Dong1,ROWS($1:162)),))</f>
        <v/>
      </c>
      <c r="B175" s="113" t="str">
        <f ca="1">IF(ROWS($1:162)&gt;COUNT(Dong1),"",OFFSET(TH!E$1,SMALL(Dong1,ROWS($1:162)),))</f>
        <v/>
      </c>
      <c r="C175" s="114" t="str">
        <f ca="1">IF(ROWS($1:162)&gt;COUNT(Dong1),"",IF(OFFSET(TH!N$1,SMALL(Dong1,ROWS($1:162)),)="1111",OFFSET(TH!D$1,SMALL(Dong1,ROWS($1:162)),),""))</f>
        <v/>
      </c>
      <c r="D175" s="115" t="str">
        <f ca="1">IF(ROWS($1:162)&gt;COUNT(Dong1),"",IF(OFFSET(TH!O$1,SMALL(Dong1,ROWS($1:162)),)="1111",OFFSET(TH!D$1,SMALL(Dong1,ROWS($1:162)),),""))</f>
        <v/>
      </c>
      <c r="E175" s="166" t="str">
        <f ca="1">IF(ROWS($1:162)&gt;COUNT(Dong1),"",OFFSET(TH!F$1,SMALL(Dong1,ROWS($1:162)),))</f>
        <v/>
      </c>
      <c r="F175" s="117" t="str">
        <f ca="1">IF(ROWS($1:162)&gt;COUNT(Dong1),"",IF(OFFSET(TH!O$1,SMALL(Dong1,ROWS($1:162)),)="1111",OFFSET(TH!N$1,SMALL(Dong1,ROWS($1:162)),),OFFSET(TH!O$1,SMALL(Dong1,ROWS($1:162)),)))</f>
        <v/>
      </c>
      <c r="G175" s="118" t="str">
        <f ca="1">IF(ROWS($1:162)&gt;COUNT(Dong1),"",IF(OFFSET(TH!N$1,SMALL(Dong1,ROWS($1:162)),)="1111",OFFSET(TH!M$1,SMALL(Dong1,ROWS($1:162)),),0))</f>
        <v/>
      </c>
      <c r="H175" s="116" t="str">
        <f ca="1">IF(ROWS($1:162)&gt;COUNT(Dong1),"",IF(OFFSET(TH!O$1,SMALL(Dong1,ROWS($1:162)),)="1111",OFFSET(TH!M$1,SMALL(Dong1,ROWS($1:162)),),0))</f>
        <v/>
      </c>
      <c r="I175" s="114">
        <f t="shared" ca="1" si="3"/>
        <v>0</v>
      </c>
      <c r="J175" s="119"/>
    </row>
    <row r="176" spans="1:10" ht="19.5" customHeight="1">
      <c r="A176" s="113" t="str">
        <f ca="1">IF(ROWS($1:163)&gt;COUNT(Dong1),"",OFFSET(TH!C$1,SMALL(Dong1,ROWS($1:163)),))</f>
        <v/>
      </c>
      <c r="B176" s="113" t="str">
        <f ca="1">IF(ROWS($1:163)&gt;COUNT(Dong1),"",OFFSET(TH!E$1,SMALL(Dong1,ROWS($1:163)),))</f>
        <v/>
      </c>
      <c r="C176" s="114" t="str">
        <f ca="1">IF(ROWS($1:163)&gt;COUNT(Dong1),"",IF(OFFSET(TH!N$1,SMALL(Dong1,ROWS($1:163)),)="1111",OFFSET(TH!D$1,SMALL(Dong1,ROWS($1:163)),),""))</f>
        <v/>
      </c>
      <c r="D176" s="115" t="str">
        <f ca="1">IF(ROWS($1:163)&gt;COUNT(Dong1),"",IF(OFFSET(TH!O$1,SMALL(Dong1,ROWS($1:163)),)="1111",OFFSET(TH!D$1,SMALL(Dong1,ROWS($1:163)),),""))</f>
        <v/>
      </c>
      <c r="E176" s="166" t="str">
        <f ca="1">IF(ROWS($1:163)&gt;COUNT(Dong1),"",OFFSET(TH!F$1,SMALL(Dong1,ROWS($1:163)),))</f>
        <v/>
      </c>
      <c r="F176" s="117" t="str">
        <f ca="1">IF(ROWS($1:163)&gt;COUNT(Dong1),"",IF(OFFSET(TH!O$1,SMALL(Dong1,ROWS($1:163)),)="1111",OFFSET(TH!N$1,SMALL(Dong1,ROWS($1:163)),),OFFSET(TH!O$1,SMALL(Dong1,ROWS($1:163)),)))</f>
        <v/>
      </c>
      <c r="G176" s="118" t="str">
        <f ca="1">IF(ROWS($1:163)&gt;COUNT(Dong1),"",IF(OFFSET(TH!N$1,SMALL(Dong1,ROWS($1:163)),)="1111",OFFSET(TH!M$1,SMALL(Dong1,ROWS($1:163)),),0))</f>
        <v/>
      </c>
      <c r="H176" s="116" t="str">
        <f ca="1">IF(ROWS($1:163)&gt;COUNT(Dong1),"",IF(OFFSET(TH!O$1,SMALL(Dong1,ROWS($1:163)),)="1111",OFFSET(TH!M$1,SMALL(Dong1,ROWS($1:163)),),0))</f>
        <v/>
      </c>
      <c r="I176" s="114">
        <f t="shared" ca="1" si="3"/>
        <v>0</v>
      </c>
      <c r="J176" s="119"/>
    </row>
    <row r="177" spans="1:10" ht="19.5" customHeight="1">
      <c r="A177" s="113" t="str">
        <f ca="1">IF(ROWS($1:164)&gt;COUNT(Dong1),"",OFFSET(TH!C$1,SMALL(Dong1,ROWS($1:164)),))</f>
        <v/>
      </c>
      <c r="B177" s="113" t="str">
        <f ca="1">IF(ROWS($1:164)&gt;COUNT(Dong1),"",OFFSET(TH!E$1,SMALL(Dong1,ROWS($1:164)),))</f>
        <v/>
      </c>
      <c r="C177" s="114" t="str">
        <f ca="1">IF(ROWS($1:164)&gt;COUNT(Dong1),"",IF(OFFSET(TH!N$1,SMALL(Dong1,ROWS($1:164)),)="1111",OFFSET(TH!D$1,SMALL(Dong1,ROWS($1:164)),),""))</f>
        <v/>
      </c>
      <c r="D177" s="115" t="str">
        <f ca="1">IF(ROWS($1:164)&gt;COUNT(Dong1),"",IF(OFFSET(TH!O$1,SMALL(Dong1,ROWS($1:164)),)="1111",OFFSET(TH!D$1,SMALL(Dong1,ROWS($1:164)),),""))</f>
        <v/>
      </c>
      <c r="E177" s="166" t="str">
        <f ca="1">IF(ROWS($1:164)&gt;COUNT(Dong1),"",OFFSET(TH!F$1,SMALL(Dong1,ROWS($1:164)),))</f>
        <v/>
      </c>
      <c r="F177" s="117" t="str">
        <f ca="1">IF(ROWS($1:164)&gt;COUNT(Dong1),"",IF(OFFSET(TH!O$1,SMALL(Dong1,ROWS($1:164)),)="1111",OFFSET(TH!N$1,SMALL(Dong1,ROWS($1:164)),),OFFSET(TH!O$1,SMALL(Dong1,ROWS($1:164)),)))</f>
        <v/>
      </c>
      <c r="G177" s="118" t="str">
        <f ca="1">IF(ROWS($1:164)&gt;COUNT(Dong1),"",IF(OFFSET(TH!N$1,SMALL(Dong1,ROWS($1:164)),)="1111",OFFSET(TH!M$1,SMALL(Dong1,ROWS($1:164)),),0))</f>
        <v/>
      </c>
      <c r="H177" s="116" t="str">
        <f ca="1">IF(ROWS($1:164)&gt;COUNT(Dong1),"",IF(OFFSET(TH!O$1,SMALL(Dong1,ROWS($1:164)),)="1111",OFFSET(TH!M$1,SMALL(Dong1,ROWS($1:164)),),0))</f>
        <v/>
      </c>
      <c r="I177" s="114">
        <f t="shared" ca="1" si="3"/>
        <v>0</v>
      </c>
      <c r="J177" s="119"/>
    </row>
    <row r="178" spans="1:10" ht="19.5" customHeight="1">
      <c r="A178" s="113" t="str">
        <f ca="1">IF(ROWS($1:165)&gt;COUNT(Dong1),"",OFFSET(TH!C$1,SMALL(Dong1,ROWS($1:165)),))</f>
        <v/>
      </c>
      <c r="B178" s="113" t="str">
        <f ca="1">IF(ROWS($1:165)&gt;COUNT(Dong1),"",OFFSET(TH!E$1,SMALL(Dong1,ROWS($1:165)),))</f>
        <v/>
      </c>
      <c r="C178" s="114" t="str">
        <f ca="1">IF(ROWS($1:165)&gt;COUNT(Dong1),"",IF(OFFSET(TH!N$1,SMALL(Dong1,ROWS($1:165)),)="1111",OFFSET(TH!D$1,SMALL(Dong1,ROWS($1:165)),),""))</f>
        <v/>
      </c>
      <c r="D178" s="115" t="str">
        <f ca="1">IF(ROWS($1:165)&gt;COUNT(Dong1),"",IF(OFFSET(TH!O$1,SMALL(Dong1,ROWS($1:165)),)="1111",OFFSET(TH!D$1,SMALL(Dong1,ROWS($1:165)),),""))</f>
        <v/>
      </c>
      <c r="E178" s="166" t="str">
        <f ca="1">IF(ROWS($1:165)&gt;COUNT(Dong1),"",OFFSET(TH!F$1,SMALL(Dong1,ROWS($1:165)),))</f>
        <v/>
      </c>
      <c r="F178" s="117" t="str">
        <f ca="1">IF(ROWS($1:165)&gt;COUNT(Dong1),"",IF(OFFSET(TH!O$1,SMALL(Dong1,ROWS($1:165)),)="1111",OFFSET(TH!N$1,SMALL(Dong1,ROWS($1:165)),),OFFSET(TH!O$1,SMALL(Dong1,ROWS($1:165)),)))</f>
        <v/>
      </c>
      <c r="G178" s="118" t="str">
        <f ca="1">IF(ROWS($1:165)&gt;COUNT(Dong1),"",IF(OFFSET(TH!N$1,SMALL(Dong1,ROWS($1:165)),)="1111",OFFSET(TH!M$1,SMALL(Dong1,ROWS($1:165)),),0))</f>
        <v/>
      </c>
      <c r="H178" s="116" t="str">
        <f ca="1">IF(ROWS($1:165)&gt;COUNT(Dong1),"",IF(OFFSET(TH!O$1,SMALL(Dong1,ROWS($1:165)),)="1111",OFFSET(TH!M$1,SMALL(Dong1,ROWS($1:165)),),0))</f>
        <v/>
      </c>
      <c r="I178" s="114">
        <f t="shared" ca="1" si="3"/>
        <v>0</v>
      </c>
      <c r="J178" s="119"/>
    </row>
    <row r="179" spans="1:10" ht="19.5" customHeight="1">
      <c r="A179" s="113" t="str">
        <f ca="1">IF(ROWS($1:166)&gt;COUNT(Dong1),"",OFFSET(TH!C$1,SMALL(Dong1,ROWS($1:166)),))</f>
        <v/>
      </c>
      <c r="B179" s="113" t="str">
        <f ca="1">IF(ROWS($1:166)&gt;COUNT(Dong1),"",OFFSET(TH!E$1,SMALL(Dong1,ROWS($1:166)),))</f>
        <v/>
      </c>
      <c r="C179" s="114" t="str">
        <f ca="1">IF(ROWS($1:166)&gt;COUNT(Dong1),"",IF(OFFSET(TH!N$1,SMALL(Dong1,ROWS($1:166)),)="1111",OFFSET(TH!D$1,SMALL(Dong1,ROWS($1:166)),),""))</f>
        <v/>
      </c>
      <c r="D179" s="115" t="str">
        <f ca="1">IF(ROWS($1:166)&gt;COUNT(Dong1),"",IF(OFFSET(TH!O$1,SMALL(Dong1,ROWS($1:166)),)="1111",OFFSET(TH!D$1,SMALL(Dong1,ROWS($1:166)),),""))</f>
        <v/>
      </c>
      <c r="E179" s="166" t="str">
        <f ca="1">IF(ROWS($1:166)&gt;COUNT(Dong1),"",OFFSET(TH!F$1,SMALL(Dong1,ROWS($1:166)),))</f>
        <v/>
      </c>
      <c r="F179" s="117" t="str">
        <f ca="1">IF(ROWS($1:166)&gt;COUNT(Dong1),"",IF(OFFSET(TH!O$1,SMALL(Dong1,ROWS($1:166)),)="1111",OFFSET(TH!N$1,SMALL(Dong1,ROWS($1:166)),),OFFSET(TH!O$1,SMALL(Dong1,ROWS($1:166)),)))</f>
        <v/>
      </c>
      <c r="G179" s="118" t="str">
        <f ca="1">IF(ROWS($1:166)&gt;COUNT(Dong1),"",IF(OFFSET(TH!N$1,SMALL(Dong1,ROWS($1:166)),)="1111",OFFSET(TH!M$1,SMALL(Dong1,ROWS($1:166)),),0))</f>
        <v/>
      </c>
      <c r="H179" s="116" t="str">
        <f ca="1">IF(ROWS($1:166)&gt;COUNT(Dong1),"",IF(OFFSET(TH!O$1,SMALL(Dong1,ROWS($1:166)),)="1111",OFFSET(TH!M$1,SMALL(Dong1,ROWS($1:166)),),0))</f>
        <v/>
      </c>
      <c r="I179" s="114">
        <f t="shared" ca="1" si="3"/>
        <v>0</v>
      </c>
      <c r="J179" s="119"/>
    </row>
    <row r="180" spans="1:10" ht="19.5" customHeight="1">
      <c r="A180" s="113" t="str">
        <f ca="1">IF(ROWS($1:167)&gt;COUNT(Dong1),"",OFFSET(TH!C$1,SMALL(Dong1,ROWS($1:167)),))</f>
        <v/>
      </c>
      <c r="B180" s="113" t="str">
        <f ca="1">IF(ROWS($1:167)&gt;COUNT(Dong1),"",OFFSET(TH!E$1,SMALL(Dong1,ROWS($1:167)),))</f>
        <v/>
      </c>
      <c r="C180" s="114" t="str">
        <f ca="1">IF(ROWS($1:167)&gt;COUNT(Dong1),"",IF(OFFSET(TH!N$1,SMALL(Dong1,ROWS($1:167)),)="1111",OFFSET(TH!D$1,SMALL(Dong1,ROWS($1:167)),),""))</f>
        <v/>
      </c>
      <c r="D180" s="115" t="str">
        <f ca="1">IF(ROWS($1:167)&gt;COUNT(Dong1),"",IF(OFFSET(TH!O$1,SMALL(Dong1,ROWS($1:167)),)="1111",OFFSET(TH!D$1,SMALL(Dong1,ROWS($1:167)),),""))</f>
        <v/>
      </c>
      <c r="E180" s="166" t="str">
        <f ca="1">IF(ROWS($1:167)&gt;COUNT(Dong1),"",OFFSET(TH!F$1,SMALL(Dong1,ROWS($1:167)),))</f>
        <v/>
      </c>
      <c r="F180" s="117" t="str">
        <f ca="1">IF(ROWS($1:167)&gt;COUNT(Dong1),"",IF(OFFSET(TH!O$1,SMALL(Dong1,ROWS($1:167)),)="1111",OFFSET(TH!N$1,SMALL(Dong1,ROWS($1:167)),),OFFSET(TH!O$1,SMALL(Dong1,ROWS($1:167)),)))</f>
        <v/>
      </c>
      <c r="G180" s="118" t="str">
        <f ca="1">IF(ROWS($1:167)&gt;COUNT(Dong1),"",IF(OFFSET(TH!N$1,SMALL(Dong1,ROWS($1:167)),)="1111",OFFSET(TH!M$1,SMALL(Dong1,ROWS($1:167)),),0))</f>
        <v/>
      </c>
      <c r="H180" s="116" t="str">
        <f ca="1">IF(ROWS($1:167)&gt;COUNT(Dong1),"",IF(OFFSET(TH!O$1,SMALL(Dong1,ROWS($1:167)),)="1111",OFFSET(TH!M$1,SMALL(Dong1,ROWS($1:167)),),0))</f>
        <v/>
      </c>
      <c r="I180" s="114">
        <f t="shared" ca="1" si="3"/>
        <v>0</v>
      </c>
      <c r="J180" s="119"/>
    </row>
    <row r="181" spans="1:10" ht="19.5" customHeight="1">
      <c r="A181" s="113" t="str">
        <f ca="1">IF(ROWS($1:168)&gt;COUNT(Dong1),"",OFFSET(TH!C$1,SMALL(Dong1,ROWS($1:168)),))</f>
        <v/>
      </c>
      <c r="B181" s="113" t="str">
        <f ca="1">IF(ROWS($1:168)&gt;COUNT(Dong1),"",OFFSET(TH!E$1,SMALL(Dong1,ROWS($1:168)),))</f>
        <v/>
      </c>
      <c r="C181" s="114" t="str">
        <f ca="1">IF(ROWS($1:168)&gt;COUNT(Dong1),"",IF(OFFSET(TH!N$1,SMALL(Dong1,ROWS($1:168)),)="1111",OFFSET(TH!D$1,SMALL(Dong1,ROWS($1:168)),),""))</f>
        <v/>
      </c>
      <c r="D181" s="115" t="str">
        <f ca="1">IF(ROWS($1:168)&gt;COUNT(Dong1),"",IF(OFFSET(TH!O$1,SMALL(Dong1,ROWS($1:168)),)="1111",OFFSET(TH!D$1,SMALL(Dong1,ROWS($1:168)),),""))</f>
        <v/>
      </c>
      <c r="E181" s="166" t="str">
        <f ca="1">IF(ROWS($1:168)&gt;COUNT(Dong1),"",OFFSET(TH!F$1,SMALL(Dong1,ROWS($1:168)),))</f>
        <v/>
      </c>
      <c r="F181" s="117" t="str">
        <f ca="1">IF(ROWS($1:168)&gt;COUNT(Dong1),"",IF(OFFSET(TH!O$1,SMALL(Dong1,ROWS($1:168)),)="1111",OFFSET(TH!N$1,SMALL(Dong1,ROWS($1:168)),),OFFSET(TH!O$1,SMALL(Dong1,ROWS($1:168)),)))</f>
        <v/>
      </c>
      <c r="G181" s="118" t="str">
        <f ca="1">IF(ROWS($1:168)&gt;COUNT(Dong1),"",IF(OFFSET(TH!N$1,SMALL(Dong1,ROWS($1:168)),)="1111",OFFSET(TH!M$1,SMALL(Dong1,ROWS($1:168)),),0))</f>
        <v/>
      </c>
      <c r="H181" s="116" t="str">
        <f ca="1">IF(ROWS($1:168)&gt;COUNT(Dong1),"",IF(OFFSET(TH!O$1,SMALL(Dong1,ROWS($1:168)),)="1111",OFFSET(TH!M$1,SMALL(Dong1,ROWS($1:168)),),0))</f>
        <v/>
      </c>
      <c r="I181" s="114">
        <f t="shared" ca="1" si="3"/>
        <v>0</v>
      </c>
      <c r="J181" s="119"/>
    </row>
    <row r="182" spans="1:10" ht="19.5" customHeight="1">
      <c r="A182" s="113" t="str">
        <f ca="1">IF(ROWS($1:169)&gt;COUNT(Dong1),"",OFFSET(TH!C$1,SMALL(Dong1,ROWS($1:169)),))</f>
        <v/>
      </c>
      <c r="B182" s="113" t="str">
        <f ca="1">IF(ROWS($1:169)&gt;COUNT(Dong1),"",OFFSET(TH!E$1,SMALL(Dong1,ROWS($1:169)),))</f>
        <v/>
      </c>
      <c r="C182" s="114" t="str">
        <f ca="1">IF(ROWS($1:169)&gt;COUNT(Dong1),"",IF(OFFSET(TH!N$1,SMALL(Dong1,ROWS($1:169)),)="1111",OFFSET(TH!D$1,SMALL(Dong1,ROWS($1:169)),),""))</f>
        <v/>
      </c>
      <c r="D182" s="115" t="str">
        <f ca="1">IF(ROWS($1:169)&gt;COUNT(Dong1),"",IF(OFFSET(TH!O$1,SMALL(Dong1,ROWS($1:169)),)="1111",OFFSET(TH!D$1,SMALL(Dong1,ROWS($1:169)),),""))</f>
        <v/>
      </c>
      <c r="E182" s="166" t="str">
        <f ca="1">IF(ROWS($1:169)&gt;COUNT(Dong1),"",OFFSET(TH!F$1,SMALL(Dong1,ROWS($1:169)),))</f>
        <v/>
      </c>
      <c r="F182" s="117" t="str">
        <f ca="1">IF(ROWS($1:169)&gt;COUNT(Dong1),"",IF(OFFSET(TH!O$1,SMALL(Dong1,ROWS($1:169)),)="1111",OFFSET(TH!N$1,SMALL(Dong1,ROWS($1:169)),),OFFSET(TH!O$1,SMALL(Dong1,ROWS($1:169)),)))</f>
        <v/>
      </c>
      <c r="G182" s="118" t="str">
        <f ca="1">IF(ROWS($1:169)&gt;COUNT(Dong1),"",IF(OFFSET(TH!N$1,SMALL(Dong1,ROWS($1:169)),)="1111",OFFSET(TH!M$1,SMALL(Dong1,ROWS($1:169)),),0))</f>
        <v/>
      </c>
      <c r="H182" s="116" t="str">
        <f ca="1">IF(ROWS($1:169)&gt;COUNT(Dong1),"",IF(OFFSET(TH!O$1,SMALL(Dong1,ROWS($1:169)),)="1111",OFFSET(TH!M$1,SMALL(Dong1,ROWS($1:169)),),0))</f>
        <v/>
      </c>
      <c r="I182" s="114">
        <f t="shared" ca="1" si="3"/>
        <v>0</v>
      </c>
      <c r="J182" s="119"/>
    </row>
    <row r="183" spans="1:10" ht="19.5" customHeight="1">
      <c r="A183" s="113" t="str">
        <f ca="1">IF(ROWS($1:170)&gt;COUNT(Dong1),"",OFFSET(TH!C$1,SMALL(Dong1,ROWS($1:170)),))</f>
        <v/>
      </c>
      <c r="B183" s="113" t="str">
        <f ca="1">IF(ROWS($1:170)&gt;COUNT(Dong1),"",OFFSET(TH!E$1,SMALL(Dong1,ROWS($1:170)),))</f>
        <v/>
      </c>
      <c r="C183" s="114" t="str">
        <f ca="1">IF(ROWS($1:170)&gt;COUNT(Dong1),"",IF(OFFSET(TH!N$1,SMALL(Dong1,ROWS($1:170)),)="1111",OFFSET(TH!D$1,SMALL(Dong1,ROWS($1:170)),),""))</f>
        <v/>
      </c>
      <c r="D183" s="115" t="str">
        <f ca="1">IF(ROWS($1:170)&gt;COUNT(Dong1),"",IF(OFFSET(TH!O$1,SMALL(Dong1,ROWS($1:170)),)="1111",OFFSET(TH!D$1,SMALL(Dong1,ROWS($1:170)),),""))</f>
        <v/>
      </c>
      <c r="E183" s="166" t="str">
        <f ca="1">IF(ROWS($1:170)&gt;COUNT(Dong1),"",OFFSET(TH!F$1,SMALL(Dong1,ROWS($1:170)),))</f>
        <v/>
      </c>
      <c r="F183" s="117" t="str">
        <f ca="1">IF(ROWS($1:170)&gt;COUNT(Dong1),"",IF(OFFSET(TH!O$1,SMALL(Dong1,ROWS($1:170)),)="1111",OFFSET(TH!N$1,SMALL(Dong1,ROWS($1:170)),),OFFSET(TH!O$1,SMALL(Dong1,ROWS($1:170)),)))</f>
        <v/>
      </c>
      <c r="G183" s="118" t="str">
        <f ca="1">IF(ROWS($1:170)&gt;COUNT(Dong1),"",IF(OFFSET(TH!N$1,SMALL(Dong1,ROWS($1:170)),)="1111",OFFSET(TH!M$1,SMALL(Dong1,ROWS($1:170)),),0))</f>
        <v/>
      </c>
      <c r="H183" s="116" t="str">
        <f ca="1">IF(ROWS($1:170)&gt;COUNT(Dong1),"",IF(OFFSET(TH!O$1,SMALL(Dong1,ROWS($1:170)),)="1111",OFFSET(TH!M$1,SMALL(Dong1,ROWS($1:170)),),0))</f>
        <v/>
      </c>
      <c r="I183" s="114">
        <f t="shared" ca="1" si="3"/>
        <v>0</v>
      </c>
      <c r="J183" s="119"/>
    </row>
    <row r="184" spans="1:10" ht="19.5" customHeight="1">
      <c r="A184" s="113" t="str">
        <f ca="1">IF(ROWS($1:171)&gt;COUNT(Dong1),"",OFFSET(TH!C$1,SMALL(Dong1,ROWS($1:171)),))</f>
        <v/>
      </c>
      <c r="B184" s="113" t="str">
        <f ca="1">IF(ROWS($1:171)&gt;COUNT(Dong1),"",OFFSET(TH!E$1,SMALL(Dong1,ROWS($1:171)),))</f>
        <v/>
      </c>
      <c r="C184" s="114" t="str">
        <f ca="1">IF(ROWS($1:171)&gt;COUNT(Dong1),"",IF(OFFSET(TH!N$1,SMALL(Dong1,ROWS($1:171)),)="1111",OFFSET(TH!D$1,SMALL(Dong1,ROWS($1:171)),),""))</f>
        <v/>
      </c>
      <c r="D184" s="115" t="str">
        <f ca="1">IF(ROWS($1:171)&gt;COUNT(Dong1),"",IF(OFFSET(TH!O$1,SMALL(Dong1,ROWS($1:171)),)="1111",OFFSET(TH!D$1,SMALL(Dong1,ROWS($1:171)),),""))</f>
        <v/>
      </c>
      <c r="E184" s="166" t="str">
        <f ca="1">IF(ROWS($1:171)&gt;COUNT(Dong1),"",OFFSET(TH!F$1,SMALL(Dong1,ROWS($1:171)),))</f>
        <v/>
      </c>
      <c r="F184" s="117" t="str">
        <f ca="1">IF(ROWS($1:171)&gt;COUNT(Dong1),"",IF(OFFSET(TH!O$1,SMALL(Dong1,ROWS($1:171)),)="1111",OFFSET(TH!N$1,SMALL(Dong1,ROWS($1:171)),),OFFSET(TH!O$1,SMALL(Dong1,ROWS($1:171)),)))</f>
        <v/>
      </c>
      <c r="G184" s="118" t="str">
        <f ca="1">IF(ROWS($1:171)&gt;COUNT(Dong1),"",IF(OFFSET(TH!N$1,SMALL(Dong1,ROWS($1:171)),)="1111",OFFSET(TH!M$1,SMALL(Dong1,ROWS($1:171)),),0))</f>
        <v/>
      </c>
      <c r="H184" s="116" t="str">
        <f ca="1">IF(ROWS($1:171)&gt;COUNT(Dong1),"",IF(OFFSET(TH!O$1,SMALL(Dong1,ROWS($1:171)),)="1111",OFFSET(TH!M$1,SMALL(Dong1,ROWS($1:171)),),0))</f>
        <v/>
      </c>
      <c r="I184" s="114">
        <f t="shared" ca="1" si="3"/>
        <v>0</v>
      </c>
      <c r="J184" s="119"/>
    </row>
    <row r="185" spans="1:10" ht="19.5" customHeight="1">
      <c r="A185" s="113" t="str">
        <f ca="1">IF(ROWS($1:172)&gt;COUNT(Dong1),"",OFFSET(TH!C$1,SMALL(Dong1,ROWS($1:172)),))</f>
        <v/>
      </c>
      <c r="B185" s="113" t="str">
        <f ca="1">IF(ROWS($1:172)&gt;COUNT(Dong1),"",OFFSET(TH!E$1,SMALL(Dong1,ROWS($1:172)),))</f>
        <v/>
      </c>
      <c r="C185" s="114" t="str">
        <f ca="1">IF(ROWS($1:172)&gt;COUNT(Dong1),"",IF(OFFSET(TH!N$1,SMALL(Dong1,ROWS($1:172)),)="1111",OFFSET(TH!D$1,SMALL(Dong1,ROWS($1:172)),),""))</f>
        <v/>
      </c>
      <c r="D185" s="115" t="str">
        <f ca="1">IF(ROWS($1:172)&gt;COUNT(Dong1),"",IF(OFFSET(TH!O$1,SMALL(Dong1,ROWS($1:172)),)="1111",OFFSET(TH!D$1,SMALL(Dong1,ROWS($1:172)),),""))</f>
        <v/>
      </c>
      <c r="E185" s="166" t="str">
        <f ca="1">IF(ROWS($1:172)&gt;COUNT(Dong1),"",OFFSET(TH!F$1,SMALL(Dong1,ROWS($1:172)),))</f>
        <v/>
      </c>
      <c r="F185" s="117" t="str">
        <f ca="1">IF(ROWS($1:172)&gt;COUNT(Dong1),"",IF(OFFSET(TH!O$1,SMALL(Dong1,ROWS($1:172)),)="1111",OFFSET(TH!N$1,SMALL(Dong1,ROWS($1:172)),),OFFSET(TH!O$1,SMALL(Dong1,ROWS($1:172)),)))</f>
        <v/>
      </c>
      <c r="G185" s="118" t="str">
        <f ca="1">IF(ROWS($1:172)&gt;COUNT(Dong1),"",IF(OFFSET(TH!N$1,SMALL(Dong1,ROWS($1:172)),)="1111",OFFSET(TH!M$1,SMALL(Dong1,ROWS($1:172)),),0))</f>
        <v/>
      </c>
      <c r="H185" s="116" t="str">
        <f ca="1">IF(ROWS($1:172)&gt;COUNT(Dong1),"",IF(OFFSET(TH!O$1,SMALL(Dong1,ROWS($1:172)),)="1111",OFFSET(TH!M$1,SMALL(Dong1,ROWS($1:172)),),0))</f>
        <v/>
      </c>
      <c r="I185" s="114">
        <f t="shared" ca="1" si="3"/>
        <v>0</v>
      </c>
      <c r="J185" s="119"/>
    </row>
    <row r="186" spans="1:10" ht="19.5" customHeight="1">
      <c r="A186" s="113" t="str">
        <f ca="1">IF(ROWS($1:173)&gt;COUNT(Dong1),"",OFFSET(TH!C$1,SMALL(Dong1,ROWS($1:173)),))</f>
        <v/>
      </c>
      <c r="B186" s="113" t="str">
        <f ca="1">IF(ROWS($1:173)&gt;COUNT(Dong1),"",OFFSET(TH!E$1,SMALL(Dong1,ROWS($1:173)),))</f>
        <v/>
      </c>
      <c r="C186" s="114" t="str">
        <f ca="1">IF(ROWS($1:173)&gt;COUNT(Dong1),"",IF(OFFSET(TH!N$1,SMALL(Dong1,ROWS($1:173)),)="1111",OFFSET(TH!D$1,SMALL(Dong1,ROWS($1:173)),),""))</f>
        <v/>
      </c>
      <c r="D186" s="115" t="str">
        <f ca="1">IF(ROWS($1:173)&gt;COUNT(Dong1),"",IF(OFFSET(TH!O$1,SMALL(Dong1,ROWS($1:173)),)="1111",OFFSET(TH!D$1,SMALL(Dong1,ROWS($1:173)),),""))</f>
        <v/>
      </c>
      <c r="E186" s="166" t="str">
        <f ca="1">IF(ROWS($1:173)&gt;COUNT(Dong1),"",OFFSET(TH!F$1,SMALL(Dong1,ROWS($1:173)),))</f>
        <v/>
      </c>
      <c r="F186" s="117" t="str">
        <f ca="1">IF(ROWS($1:173)&gt;COUNT(Dong1),"",IF(OFFSET(TH!O$1,SMALL(Dong1,ROWS($1:173)),)="1111",OFFSET(TH!N$1,SMALL(Dong1,ROWS($1:173)),),OFFSET(TH!O$1,SMALL(Dong1,ROWS($1:173)),)))</f>
        <v/>
      </c>
      <c r="G186" s="118" t="str">
        <f ca="1">IF(ROWS($1:173)&gt;COUNT(Dong1),"",IF(OFFSET(TH!N$1,SMALL(Dong1,ROWS($1:173)),)="1111",OFFSET(TH!M$1,SMALL(Dong1,ROWS($1:173)),),0))</f>
        <v/>
      </c>
      <c r="H186" s="116" t="str">
        <f ca="1">IF(ROWS($1:173)&gt;COUNT(Dong1),"",IF(OFFSET(TH!O$1,SMALL(Dong1,ROWS($1:173)),)="1111",OFFSET(TH!M$1,SMALL(Dong1,ROWS($1:173)),),0))</f>
        <v/>
      </c>
      <c r="I186" s="114">
        <f t="shared" ca="1" si="3"/>
        <v>0</v>
      </c>
      <c r="J186" s="119"/>
    </row>
    <row r="187" spans="1:10" ht="19.5" customHeight="1">
      <c r="A187" s="113" t="str">
        <f ca="1">IF(ROWS($1:174)&gt;COUNT(Dong1),"",OFFSET(TH!C$1,SMALL(Dong1,ROWS($1:174)),))</f>
        <v/>
      </c>
      <c r="B187" s="113" t="str">
        <f ca="1">IF(ROWS($1:174)&gt;COUNT(Dong1),"",OFFSET(TH!E$1,SMALL(Dong1,ROWS($1:174)),))</f>
        <v/>
      </c>
      <c r="C187" s="114" t="str">
        <f ca="1">IF(ROWS($1:174)&gt;COUNT(Dong1),"",IF(OFFSET(TH!N$1,SMALL(Dong1,ROWS($1:174)),)="1111",OFFSET(TH!D$1,SMALL(Dong1,ROWS($1:174)),),""))</f>
        <v/>
      </c>
      <c r="D187" s="115" t="str">
        <f ca="1">IF(ROWS($1:174)&gt;COUNT(Dong1),"",IF(OFFSET(TH!O$1,SMALL(Dong1,ROWS($1:174)),)="1111",OFFSET(TH!D$1,SMALL(Dong1,ROWS($1:174)),),""))</f>
        <v/>
      </c>
      <c r="E187" s="166" t="str">
        <f ca="1">IF(ROWS($1:174)&gt;COUNT(Dong1),"",OFFSET(TH!F$1,SMALL(Dong1,ROWS($1:174)),))</f>
        <v/>
      </c>
      <c r="F187" s="117" t="str">
        <f ca="1">IF(ROWS($1:174)&gt;COUNT(Dong1),"",IF(OFFSET(TH!O$1,SMALL(Dong1,ROWS($1:174)),)="1111",OFFSET(TH!N$1,SMALL(Dong1,ROWS($1:174)),),OFFSET(TH!O$1,SMALL(Dong1,ROWS($1:174)),)))</f>
        <v/>
      </c>
      <c r="G187" s="118" t="str">
        <f ca="1">IF(ROWS($1:174)&gt;COUNT(Dong1),"",IF(OFFSET(TH!N$1,SMALL(Dong1,ROWS($1:174)),)="1111",OFFSET(TH!M$1,SMALL(Dong1,ROWS($1:174)),),0))</f>
        <v/>
      </c>
      <c r="H187" s="116" t="str">
        <f ca="1">IF(ROWS($1:174)&gt;COUNT(Dong1),"",IF(OFFSET(TH!O$1,SMALL(Dong1,ROWS($1:174)),)="1111",OFFSET(TH!M$1,SMALL(Dong1,ROWS($1:174)),),0))</f>
        <v/>
      </c>
      <c r="I187" s="114">
        <f t="shared" ca="1" si="3"/>
        <v>0</v>
      </c>
      <c r="J187" s="119"/>
    </row>
    <row r="188" spans="1:10" ht="19.5" customHeight="1">
      <c r="A188" s="113" t="str">
        <f ca="1">IF(ROWS($1:175)&gt;COUNT(Dong1),"",OFFSET(TH!C$1,SMALL(Dong1,ROWS($1:175)),))</f>
        <v/>
      </c>
      <c r="B188" s="113" t="str">
        <f ca="1">IF(ROWS($1:175)&gt;COUNT(Dong1),"",OFFSET(TH!E$1,SMALL(Dong1,ROWS($1:175)),))</f>
        <v/>
      </c>
      <c r="C188" s="114" t="str">
        <f ca="1">IF(ROWS($1:175)&gt;COUNT(Dong1),"",IF(OFFSET(TH!N$1,SMALL(Dong1,ROWS($1:175)),)="1111",OFFSET(TH!D$1,SMALL(Dong1,ROWS($1:175)),),""))</f>
        <v/>
      </c>
      <c r="D188" s="115" t="str">
        <f ca="1">IF(ROWS($1:175)&gt;COUNT(Dong1),"",IF(OFFSET(TH!O$1,SMALL(Dong1,ROWS($1:175)),)="1111",OFFSET(TH!D$1,SMALL(Dong1,ROWS($1:175)),),""))</f>
        <v/>
      </c>
      <c r="E188" s="166" t="str">
        <f ca="1">IF(ROWS($1:175)&gt;COUNT(Dong1),"",OFFSET(TH!F$1,SMALL(Dong1,ROWS($1:175)),))</f>
        <v/>
      </c>
      <c r="F188" s="117" t="str">
        <f ca="1">IF(ROWS($1:175)&gt;COUNT(Dong1),"",IF(OFFSET(TH!O$1,SMALL(Dong1,ROWS($1:175)),)="1111",OFFSET(TH!N$1,SMALL(Dong1,ROWS($1:175)),),OFFSET(TH!O$1,SMALL(Dong1,ROWS($1:175)),)))</f>
        <v/>
      </c>
      <c r="G188" s="118" t="str">
        <f ca="1">IF(ROWS($1:175)&gt;COUNT(Dong1),"",IF(OFFSET(TH!N$1,SMALL(Dong1,ROWS($1:175)),)="1111",OFFSET(TH!M$1,SMALL(Dong1,ROWS($1:175)),),0))</f>
        <v/>
      </c>
      <c r="H188" s="116" t="str">
        <f ca="1">IF(ROWS($1:175)&gt;COUNT(Dong1),"",IF(OFFSET(TH!O$1,SMALL(Dong1,ROWS($1:175)),)="1111",OFFSET(TH!M$1,SMALL(Dong1,ROWS($1:175)),),0))</f>
        <v/>
      </c>
      <c r="I188" s="114">
        <f t="shared" ca="1" si="3"/>
        <v>0</v>
      </c>
      <c r="J188" s="119"/>
    </row>
    <row r="189" spans="1:10" ht="19.5" customHeight="1">
      <c r="A189" s="113" t="str">
        <f ca="1">IF(ROWS($1:176)&gt;COUNT(Dong1),"",OFFSET(TH!C$1,SMALL(Dong1,ROWS($1:176)),))</f>
        <v/>
      </c>
      <c r="B189" s="113" t="str">
        <f ca="1">IF(ROWS($1:176)&gt;COUNT(Dong1),"",OFFSET(TH!E$1,SMALL(Dong1,ROWS($1:176)),))</f>
        <v/>
      </c>
      <c r="C189" s="114" t="str">
        <f ca="1">IF(ROWS($1:176)&gt;COUNT(Dong1),"",IF(OFFSET(TH!N$1,SMALL(Dong1,ROWS($1:176)),)="1111",OFFSET(TH!D$1,SMALL(Dong1,ROWS($1:176)),),""))</f>
        <v/>
      </c>
      <c r="D189" s="115" t="str">
        <f ca="1">IF(ROWS($1:176)&gt;COUNT(Dong1),"",IF(OFFSET(TH!O$1,SMALL(Dong1,ROWS($1:176)),)="1111",OFFSET(TH!D$1,SMALL(Dong1,ROWS($1:176)),),""))</f>
        <v/>
      </c>
      <c r="E189" s="166" t="str">
        <f ca="1">IF(ROWS($1:176)&gt;COUNT(Dong1),"",OFFSET(TH!F$1,SMALL(Dong1,ROWS($1:176)),))</f>
        <v/>
      </c>
      <c r="F189" s="117" t="str">
        <f ca="1">IF(ROWS($1:176)&gt;COUNT(Dong1),"",IF(OFFSET(TH!O$1,SMALL(Dong1,ROWS($1:176)),)="1111",OFFSET(TH!N$1,SMALL(Dong1,ROWS($1:176)),),OFFSET(TH!O$1,SMALL(Dong1,ROWS($1:176)),)))</f>
        <v/>
      </c>
      <c r="G189" s="118" t="str">
        <f ca="1">IF(ROWS($1:176)&gt;COUNT(Dong1),"",IF(OFFSET(TH!N$1,SMALL(Dong1,ROWS($1:176)),)="1111",OFFSET(TH!M$1,SMALL(Dong1,ROWS($1:176)),),0))</f>
        <v/>
      </c>
      <c r="H189" s="116" t="str">
        <f ca="1">IF(ROWS($1:176)&gt;COUNT(Dong1),"",IF(OFFSET(TH!O$1,SMALL(Dong1,ROWS($1:176)),)="1111",OFFSET(TH!M$1,SMALL(Dong1,ROWS($1:176)),),0))</f>
        <v/>
      </c>
      <c r="I189" s="114">
        <f t="shared" ca="1" si="3"/>
        <v>0</v>
      </c>
      <c r="J189" s="119"/>
    </row>
    <row r="190" spans="1:10" ht="19.5" customHeight="1">
      <c r="A190" s="113" t="str">
        <f ca="1">IF(ROWS($1:177)&gt;COUNT(Dong1),"",OFFSET(TH!C$1,SMALL(Dong1,ROWS($1:177)),))</f>
        <v/>
      </c>
      <c r="B190" s="113" t="str">
        <f ca="1">IF(ROWS($1:177)&gt;COUNT(Dong1),"",OFFSET(TH!E$1,SMALL(Dong1,ROWS($1:177)),))</f>
        <v/>
      </c>
      <c r="C190" s="114" t="str">
        <f ca="1">IF(ROWS($1:177)&gt;COUNT(Dong1),"",IF(OFFSET(TH!N$1,SMALL(Dong1,ROWS($1:177)),)="1111",OFFSET(TH!D$1,SMALL(Dong1,ROWS($1:177)),),""))</f>
        <v/>
      </c>
      <c r="D190" s="115" t="str">
        <f ca="1">IF(ROWS($1:177)&gt;COUNT(Dong1),"",IF(OFFSET(TH!O$1,SMALL(Dong1,ROWS($1:177)),)="1111",OFFSET(TH!D$1,SMALL(Dong1,ROWS($1:177)),),""))</f>
        <v/>
      </c>
      <c r="E190" s="166" t="str">
        <f ca="1">IF(ROWS($1:177)&gt;COUNT(Dong1),"",OFFSET(TH!F$1,SMALL(Dong1,ROWS($1:177)),))</f>
        <v/>
      </c>
      <c r="F190" s="117" t="str">
        <f ca="1">IF(ROWS($1:177)&gt;COUNT(Dong1),"",IF(OFFSET(TH!O$1,SMALL(Dong1,ROWS($1:177)),)="1111",OFFSET(TH!N$1,SMALL(Dong1,ROWS($1:177)),),OFFSET(TH!O$1,SMALL(Dong1,ROWS($1:177)),)))</f>
        <v/>
      </c>
      <c r="G190" s="118" t="str">
        <f ca="1">IF(ROWS($1:177)&gt;COUNT(Dong1),"",IF(OFFSET(TH!N$1,SMALL(Dong1,ROWS($1:177)),)="1111",OFFSET(TH!M$1,SMALL(Dong1,ROWS($1:177)),),0))</f>
        <v/>
      </c>
      <c r="H190" s="116" t="str">
        <f ca="1">IF(ROWS($1:177)&gt;COUNT(Dong1),"",IF(OFFSET(TH!O$1,SMALL(Dong1,ROWS($1:177)),)="1111",OFFSET(TH!M$1,SMALL(Dong1,ROWS($1:177)),),0))</f>
        <v/>
      </c>
      <c r="I190" s="114">
        <f t="shared" ca="1" si="3"/>
        <v>0</v>
      </c>
      <c r="J190" s="119"/>
    </row>
    <row r="191" spans="1:10" ht="19.5" customHeight="1">
      <c r="A191" s="113" t="str">
        <f ca="1">IF(ROWS($1:178)&gt;COUNT(Dong1),"",OFFSET(TH!C$1,SMALL(Dong1,ROWS($1:178)),))</f>
        <v/>
      </c>
      <c r="B191" s="113" t="str">
        <f ca="1">IF(ROWS($1:178)&gt;COUNT(Dong1),"",OFFSET(TH!E$1,SMALL(Dong1,ROWS($1:178)),))</f>
        <v/>
      </c>
      <c r="C191" s="114" t="str">
        <f ca="1">IF(ROWS($1:178)&gt;COUNT(Dong1),"",IF(OFFSET(TH!N$1,SMALL(Dong1,ROWS($1:178)),)="1111",OFFSET(TH!D$1,SMALL(Dong1,ROWS($1:178)),),""))</f>
        <v/>
      </c>
      <c r="D191" s="115" t="str">
        <f ca="1">IF(ROWS($1:178)&gt;COUNT(Dong1),"",IF(OFFSET(TH!O$1,SMALL(Dong1,ROWS($1:178)),)="1111",OFFSET(TH!D$1,SMALL(Dong1,ROWS($1:178)),),""))</f>
        <v/>
      </c>
      <c r="E191" s="166" t="str">
        <f ca="1">IF(ROWS($1:178)&gt;COUNT(Dong1),"",OFFSET(TH!F$1,SMALL(Dong1,ROWS($1:178)),))</f>
        <v/>
      </c>
      <c r="F191" s="117" t="str">
        <f ca="1">IF(ROWS($1:178)&gt;COUNT(Dong1),"",IF(OFFSET(TH!O$1,SMALL(Dong1,ROWS($1:178)),)="1111",OFFSET(TH!N$1,SMALL(Dong1,ROWS($1:178)),),OFFSET(TH!O$1,SMALL(Dong1,ROWS($1:178)),)))</f>
        <v/>
      </c>
      <c r="G191" s="118" t="str">
        <f ca="1">IF(ROWS($1:178)&gt;COUNT(Dong1),"",IF(OFFSET(TH!N$1,SMALL(Dong1,ROWS($1:178)),)="1111",OFFSET(TH!M$1,SMALL(Dong1,ROWS($1:178)),),0))</f>
        <v/>
      </c>
      <c r="H191" s="116" t="str">
        <f ca="1">IF(ROWS($1:178)&gt;COUNT(Dong1),"",IF(OFFSET(TH!O$1,SMALL(Dong1,ROWS($1:178)),)="1111",OFFSET(TH!M$1,SMALL(Dong1,ROWS($1:178)),),0))</f>
        <v/>
      </c>
      <c r="I191" s="114">
        <f t="shared" ca="1" si="3"/>
        <v>0</v>
      </c>
      <c r="J191" s="119"/>
    </row>
    <row r="192" spans="1:10" ht="19.5" customHeight="1">
      <c r="A192" s="113" t="str">
        <f ca="1">IF(ROWS($1:179)&gt;COUNT(Dong1),"",OFFSET(TH!C$1,SMALL(Dong1,ROWS($1:179)),))</f>
        <v/>
      </c>
      <c r="B192" s="113" t="str">
        <f ca="1">IF(ROWS($1:179)&gt;COUNT(Dong1),"",OFFSET(TH!E$1,SMALL(Dong1,ROWS($1:179)),))</f>
        <v/>
      </c>
      <c r="C192" s="114" t="str">
        <f ca="1">IF(ROWS($1:179)&gt;COUNT(Dong1),"",IF(OFFSET(TH!N$1,SMALL(Dong1,ROWS($1:179)),)="1111",OFFSET(TH!D$1,SMALL(Dong1,ROWS($1:179)),),""))</f>
        <v/>
      </c>
      <c r="D192" s="115" t="str">
        <f ca="1">IF(ROWS($1:179)&gt;COUNT(Dong1),"",IF(OFFSET(TH!O$1,SMALL(Dong1,ROWS($1:179)),)="1111",OFFSET(TH!D$1,SMALL(Dong1,ROWS($1:179)),),""))</f>
        <v/>
      </c>
      <c r="E192" s="166" t="str">
        <f ca="1">IF(ROWS($1:179)&gt;COUNT(Dong1),"",OFFSET(TH!F$1,SMALL(Dong1,ROWS($1:179)),))</f>
        <v/>
      </c>
      <c r="F192" s="117" t="str">
        <f ca="1">IF(ROWS($1:179)&gt;COUNT(Dong1),"",IF(OFFSET(TH!O$1,SMALL(Dong1,ROWS($1:179)),)="1111",OFFSET(TH!N$1,SMALL(Dong1,ROWS($1:179)),),OFFSET(TH!O$1,SMALL(Dong1,ROWS($1:179)),)))</f>
        <v/>
      </c>
      <c r="G192" s="118" t="str">
        <f ca="1">IF(ROWS($1:179)&gt;COUNT(Dong1),"",IF(OFFSET(TH!N$1,SMALL(Dong1,ROWS($1:179)),)="1111",OFFSET(TH!M$1,SMALL(Dong1,ROWS($1:179)),),0))</f>
        <v/>
      </c>
      <c r="H192" s="116" t="str">
        <f ca="1">IF(ROWS($1:179)&gt;COUNT(Dong1),"",IF(OFFSET(TH!O$1,SMALL(Dong1,ROWS($1:179)),)="1111",OFFSET(TH!M$1,SMALL(Dong1,ROWS($1:179)),),0))</f>
        <v/>
      </c>
      <c r="I192" s="114">
        <f t="shared" ca="1" si="3"/>
        <v>0</v>
      </c>
      <c r="J192" s="119"/>
    </row>
    <row r="193" spans="1:12" ht="19.5" customHeight="1">
      <c r="A193" s="113" t="str">
        <f ca="1">IF(ROWS($1:180)&gt;COUNT(Dong1),"",OFFSET(TH!C$1,SMALL(Dong1,ROWS($1:180)),))</f>
        <v/>
      </c>
      <c r="B193" s="113" t="str">
        <f ca="1">IF(ROWS($1:180)&gt;COUNT(Dong1),"",OFFSET(TH!E$1,SMALL(Dong1,ROWS($1:180)),))</f>
        <v/>
      </c>
      <c r="C193" s="114" t="str">
        <f ca="1">IF(ROWS($1:180)&gt;COUNT(Dong1),"",IF(OFFSET(TH!N$1,SMALL(Dong1,ROWS($1:180)),)="1111",OFFSET(TH!D$1,SMALL(Dong1,ROWS($1:180)),),""))</f>
        <v/>
      </c>
      <c r="D193" s="115" t="str">
        <f ca="1">IF(ROWS($1:180)&gt;COUNT(Dong1),"",IF(OFFSET(TH!O$1,SMALL(Dong1,ROWS($1:180)),)="1111",OFFSET(TH!D$1,SMALL(Dong1,ROWS($1:180)),),""))</f>
        <v/>
      </c>
      <c r="E193" s="166" t="str">
        <f ca="1">IF(ROWS($1:180)&gt;COUNT(Dong1),"",OFFSET(TH!F$1,SMALL(Dong1,ROWS($1:180)),))</f>
        <v/>
      </c>
      <c r="F193" s="117" t="str">
        <f ca="1">IF(ROWS($1:180)&gt;COUNT(Dong1),"",IF(OFFSET(TH!O$1,SMALL(Dong1,ROWS($1:180)),)="1111",OFFSET(TH!N$1,SMALL(Dong1,ROWS($1:180)),),OFFSET(TH!O$1,SMALL(Dong1,ROWS($1:180)),)))</f>
        <v/>
      </c>
      <c r="G193" s="118" t="str">
        <f ca="1">IF(ROWS($1:180)&gt;COUNT(Dong1),"",IF(OFFSET(TH!N$1,SMALL(Dong1,ROWS($1:180)),)="1111",OFFSET(TH!M$1,SMALL(Dong1,ROWS($1:180)),),0))</f>
        <v/>
      </c>
      <c r="H193" s="116" t="str">
        <f ca="1">IF(ROWS($1:180)&gt;COUNT(Dong1),"",IF(OFFSET(TH!O$1,SMALL(Dong1,ROWS($1:180)),)="1111",OFFSET(TH!M$1,SMALL(Dong1,ROWS($1:180)),),0))</f>
        <v/>
      </c>
      <c r="I193" s="114">
        <f t="shared" ca="1" si="3"/>
        <v>0</v>
      </c>
      <c r="J193" s="119"/>
    </row>
    <row r="194" spans="1:12" ht="19.5" customHeight="1">
      <c r="A194" s="113" t="str">
        <f ca="1">IF(ROWS($1:181)&gt;COUNT(Dong1),"",OFFSET(TH!C$1,SMALL(Dong1,ROWS($1:181)),))</f>
        <v/>
      </c>
      <c r="B194" s="113" t="str">
        <f ca="1">IF(ROWS($1:181)&gt;COUNT(Dong1),"",OFFSET(TH!E$1,SMALL(Dong1,ROWS($1:181)),))</f>
        <v/>
      </c>
      <c r="C194" s="114" t="str">
        <f ca="1">IF(ROWS($1:181)&gt;COUNT(Dong1),"",IF(OFFSET(TH!N$1,SMALL(Dong1,ROWS($1:181)),)="1111",OFFSET(TH!D$1,SMALL(Dong1,ROWS($1:181)),),""))</f>
        <v/>
      </c>
      <c r="D194" s="115" t="str">
        <f ca="1">IF(ROWS($1:181)&gt;COUNT(Dong1),"",IF(OFFSET(TH!O$1,SMALL(Dong1,ROWS($1:181)),)="1111",OFFSET(TH!D$1,SMALL(Dong1,ROWS($1:181)),),""))</f>
        <v/>
      </c>
      <c r="E194" s="166" t="str">
        <f ca="1">IF(ROWS($1:181)&gt;COUNT(Dong1),"",OFFSET(TH!F$1,SMALL(Dong1,ROWS($1:181)),))</f>
        <v/>
      </c>
      <c r="F194" s="117" t="str">
        <f ca="1">IF(ROWS($1:181)&gt;COUNT(Dong1),"",IF(OFFSET(TH!O$1,SMALL(Dong1,ROWS($1:181)),)="1111",OFFSET(TH!N$1,SMALL(Dong1,ROWS($1:181)),),OFFSET(TH!O$1,SMALL(Dong1,ROWS($1:181)),)))</f>
        <v/>
      </c>
      <c r="G194" s="118" t="str">
        <f ca="1">IF(ROWS($1:181)&gt;COUNT(Dong1),"",IF(OFFSET(TH!N$1,SMALL(Dong1,ROWS($1:181)),)="1111",OFFSET(TH!M$1,SMALL(Dong1,ROWS($1:181)),),0))</f>
        <v/>
      </c>
      <c r="H194" s="116" t="str">
        <f ca="1">IF(ROWS($1:181)&gt;COUNT(Dong1),"",IF(OFFSET(TH!O$1,SMALL(Dong1,ROWS($1:181)),)="1111",OFFSET(TH!M$1,SMALL(Dong1,ROWS($1:181)),),0))</f>
        <v/>
      </c>
      <c r="I194" s="114">
        <f t="shared" ca="1" si="3"/>
        <v>0</v>
      </c>
      <c r="J194" s="119"/>
    </row>
    <row r="195" spans="1:12" ht="19.5" customHeight="1">
      <c r="A195" s="120"/>
      <c r="B195" s="119"/>
      <c r="C195" s="119"/>
      <c r="D195" s="119"/>
      <c r="E195" s="167"/>
      <c r="F195" s="121"/>
      <c r="G195" s="119"/>
      <c r="H195" s="119"/>
      <c r="I195" s="114"/>
      <c r="J195" s="119"/>
    </row>
    <row r="196" spans="1:12" s="109" customFormat="1" ht="19.5" customHeight="1">
      <c r="A196" s="122"/>
      <c r="B196" s="122"/>
      <c r="C196" s="122"/>
      <c r="D196" s="122"/>
      <c r="E196" s="122" t="s">
        <v>75</v>
      </c>
      <c r="F196" s="123" t="s">
        <v>15</v>
      </c>
      <c r="G196" s="122">
        <f ca="1">SUM(G14:G195)</f>
        <v>12178385000</v>
      </c>
      <c r="H196" s="122">
        <f ca="1">SUM(H14:H195)</f>
        <v>12190546000</v>
      </c>
      <c r="I196" s="123" t="s">
        <v>15</v>
      </c>
      <c r="J196" s="123" t="s">
        <v>15</v>
      </c>
    </row>
    <row r="197" spans="1:12" s="109" customFormat="1" ht="19.5" customHeight="1">
      <c r="A197" s="124"/>
      <c r="B197" s="124"/>
      <c r="C197" s="124"/>
      <c r="D197" s="124"/>
      <c r="E197" s="124" t="s">
        <v>76</v>
      </c>
      <c r="F197" s="125" t="s">
        <v>15</v>
      </c>
      <c r="G197" s="125" t="s">
        <v>15</v>
      </c>
      <c r="H197" s="125" t="s">
        <v>15</v>
      </c>
      <c r="I197" s="126">
        <f ca="1">I13+G196-H196</f>
        <v>3126000</v>
      </c>
      <c r="J197" s="125" t="s">
        <v>15</v>
      </c>
    </row>
    <row r="198" spans="1:12">
      <c r="L198" s="183" t="s">
        <v>92</v>
      </c>
    </row>
    <row r="199" spans="1:12">
      <c r="A199" s="127" t="s">
        <v>91</v>
      </c>
      <c r="L199" s="183" t="s">
        <v>93</v>
      </c>
    </row>
    <row r="200" spans="1:12">
      <c r="A200" s="135" t="str">
        <f ca="1">"- Ngày mở sổ: "&amp;DAY($A$14)&amp;"/"&amp;MONTH($A$14)&amp;"/ 2015"</f>
        <v>- Ngày mở sổ: 1/11/ 2015</v>
      </c>
      <c r="L200" s="183" t="s">
        <v>77</v>
      </c>
    </row>
    <row r="201" spans="1:12">
      <c r="I201" s="142" t="str">
        <f>"Ngày "&amp;IF(OR($L$11=4,$L$11=6,$L$11=9,$L$11=11),"30",IF($L$11=2,"28","31"))&amp;" tháng "&amp;$L$11&amp;"  năm  2016 "</f>
        <v xml:space="preserve">Ngày 30 tháng 11  năm  2016 </v>
      </c>
      <c r="L201" s="183" t="s">
        <v>91</v>
      </c>
    </row>
    <row r="202" spans="1:12" s="128" customFormat="1" ht="14.25">
      <c r="C202" s="128" t="s">
        <v>10</v>
      </c>
      <c r="E202" s="128" t="s">
        <v>11</v>
      </c>
      <c r="I202" s="128" t="s">
        <v>48</v>
      </c>
    </row>
    <row r="203" spans="1:12" s="129" customFormat="1">
      <c r="C203" s="129" t="s">
        <v>12</v>
      </c>
      <c r="E203" s="129" t="s">
        <v>12</v>
      </c>
      <c r="I203" s="129" t="s">
        <v>78</v>
      </c>
    </row>
    <row r="204" spans="1:12" s="129" customFormat="1"/>
    <row r="205" spans="1:12" s="129" customFormat="1"/>
    <row r="206" spans="1:12" s="129" customFormat="1"/>
    <row r="207" spans="1:12" s="129" customFormat="1"/>
    <row r="210" spans="1:10" ht="15.75">
      <c r="C210" s="164" t="s">
        <v>89</v>
      </c>
      <c r="I210" s="165" t="s">
        <v>42</v>
      </c>
    </row>
    <row r="211" spans="1:10">
      <c r="E211" s="104">
        <f ca="1">SUMIF($D$14:$D$36,#REF!,H14:H36)</f>
        <v>0</v>
      </c>
    </row>
    <row r="214" spans="1:10">
      <c r="A214" s="104">
        <v>2</v>
      </c>
      <c r="B214" s="104">
        <v>3</v>
      </c>
      <c r="C214" s="104">
        <v>4</v>
      </c>
      <c r="D214" s="104">
        <v>5</v>
      </c>
      <c r="E214" s="104">
        <v>6</v>
      </c>
      <c r="F214" s="104">
        <v>9</v>
      </c>
      <c r="G214" s="104">
        <v>10</v>
      </c>
      <c r="H214" s="104">
        <v>11</v>
      </c>
      <c r="I214" s="104">
        <v>12</v>
      </c>
      <c r="J214" s="104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19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1"/>
  <sheetViews>
    <sheetView showZeros="0" tabSelected="1" workbookViewId="0">
      <pane ySplit="3" topLeftCell="A4" activePane="bottomLeft" state="frozen"/>
      <selection pane="bottomLeft" activeCell="B4" sqref="B4"/>
    </sheetView>
  </sheetViews>
  <sheetFormatPr defaultColWidth="8" defaultRowHeight="13.5"/>
  <cols>
    <col min="1" max="1" width="5.5703125" style="136" customWidth="1"/>
    <col min="2" max="2" width="18.140625" style="136" customWidth="1"/>
    <col min="3" max="3" width="10.28515625" style="136" customWidth="1"/>
    <col min="4" max="4" width="13.140625" style="136" customWidth="1"/>
    <col min="5" max="6" width="13.7109375" style="136" customWidth="1"/>
    <col min="7" max="7" width="11.42578125" style="136" customWidth="1"/>
    <col min="8" max="8" width="12.7109375" style="136" customWidth="1"/>
    <col min="9" max="9" width="8" style="136"/>
    <col min="10" max="10" width="12.85546875" style="136" bestFit="1" customWidth="1"/>
    <col min="11" max="16384" width="8" style="136"/>
  </cols>
  <sheetData>
    <row r="1" spans="1:10" ht="27" customHeight="1">
      <c r="A1" s="289" t="s">
        <v>41</v>
      </c>
      <c r="B1" s="289"/>
      <c r="C1" s="289"/>
      <c r="D1" s="289"/>
      <c r="E1" s="289"/>
      <c r="F1" s="289"/>
      <c r="G1" s="289"/>
      <c r="H1" s="289"/>
    </row>
    <row r="2" spans="1:10" s="10" customFormat="1" ht="14.25" customHeight="1">
      <c r="A2" s="292" t="s">
        <v>24</v>
      </c>
      <c r="B2" s="294" t="s">
        <v>25</v>
      </c>
      <c r="C2" s="290" t="s">
        <v>26</v>
      </c>
      <c r="D2" s="291"/>
      <c r="E2" s="290" t="s">
        <v>27</v>
      </c>
      <c r="F2" s="291"/>
      <c r="G2" s="290" t="s">
        <v>29</v>
      </c>
      <c r="H2" s="291"/>
      <c r="J2" s="216">
        <v>174928000</v>
      </c>
    </row>
    <row r="3" spans="1:10" s="10" customFormat="1" ht="14.25" customHeight="1">
      <c r="A3" s="293"/>
      <c r="B3" s="295"/>
      <c r="C3" s="200" t="s">
        <v>30</v>
      </c>
      <c r="D3" s="200" t="s">
        <v>31</v>
      </c>
      <c r="E3" s="200" t="s">
        <v>30</v>
      </c>
      <c r="F3" s="200" t="s">
        <v>31</v>
      </c>
      <c r="G3" s="200" t="s">
        <v>30</v>
      </c>
      <c r="H3" s="200" t="s">
        <v>31</v>
      </c>
    </row>
    <row r="4" spans="1:10" s="10" customFormat="1" ht="16.5" customHeight="1">
      <c r="A4" s="6">
        <f t="shared" ref="A4:A20" si="0">IF(B4&lt;&gt;"",ROW()-3,"")</f>
        <v>1</v>
      </c>
      <c r="B4" s="7" t="s">
        <v>1393</v>
      </c>
      <c r="C4" s="8"/>
      <c r="D4" s="8"/>
      <c r="E4" s="8">
        <f t="array" ref="E4">SUM(IF("331"&amp;B4=KHN&amp;KH,TH))</f>
        <v>250000000</v>
      </c>
      <c r="F4" s="8">
        <f t="array" ref="F4">SUM(IF("331"&amp;B4=KHC&amp;KH,TH))</f>
        <v>466158000</v>
      </c>
      <c r="G4" s="48">
        <f t="shared" ref="G4:G20" si="1">ROUND(MAX(C4+E4-D4-F4,0),2)</f>
        <v>0</v>
      </c>
      <c r="H4" s="48">
        <f t="shared" ref="H4:H20" si="2">ROUND(MAX(D4+F4-C4-E4,0),2)</f>
        <v>216158000</v>
      </c>
    </row>
    <row r="5" spans="1:10" s="10" customFormat="1" ht="16.5" customHeight="1">
      <c r="A5" s="6">
        <f t="shared" si="0"/>
        <v>2</v>
      </c>
      <c r="B5" s="7" t="s">
        <v>815</v>
      </c>
      <c r="C5" s="8"/>
      <c r="D5" s="8"/>
      <c r="E5" s="8">
        <f t="array" ref="E5">SUM(IF("331"&amp;B5=KHN&amp;KH,TH))</f>
        <v>730000000</v>
      </c>
      <c r="F5" s="8">
        <f t="array" ref="F5">SUM(IF("331"&amp;B5=KHC&amp;KH,TH))</f>
        <v>925912500</v>
      </c>
      <c r="G5" s="48">
        <f t="shared" ref="G5:G15" si="3">ROUND(MAX(C5+E5-D5-F5,0),2)</f>
        <v>0</v>
      </c>
      <c r="H5" s="48">
        <f t="shared" ref="H5:H15" si="4">ROUND(MAX(D5+F5-C5-E5,0),2)</f>
        <v>195912500</v>
      </c>
    </row>
    <row r="6" spans="1:10" s="10" customFormat="1" ht="16.5" customHeight="1">
      <c r="A6" s="6">
        <f t="shared" si="0"/>
        <v>3</v>
      </c>
      <c r="B6" s="7" t="s">
        <v>843</v>
      </c>
      <c r="C6" s="8"/>
      <c r="D6" s="8"/>
      <c r="E6" s="8">
        <f t="array" ref="E6">SUM(IF("331"&amp;B6=KHN&amp;KH,TH))</f>
        <v>683169000</v>
      </c>
      <c r="F6" s="8">
        <f t="array" ref="F6">SUM(IF("331"&amp;B6=KHC&amp;KH,TH))</f>
        <v>722641500</v>
      </c>
      <c r="G6" s="48">
        <f t="shared" si="3"/>
        <v>0</v>
      </c>
      <c r="H6" s="48">
        <f t="shared" si="4"/>
        <v>39472500</v>
      </c>
    </row>
    <row r="7" spans="1:10" s="10" customFormat="1" ht="16.5" customHeight="1">
      <c r="A7" s="6">
        <f t="shared" si="0"/>
        <v>4</v>
      </c>
      <c r="B7" s="7" t="s">
        <v>851</v>
      </c>
      <c r="C7" s="8"/>
      <c r="D7" s="8"/>
      <c r="E7" s="8">
        <f t="array" ref="E7">SUM(IF("331"&amp;B7=KHN&amp;KH,TH))</f>
        <v>1567402000</v>
      </c>
      <c r="F7" s="8">
        <f t="array" ref="F7">SUM(IF("331"&amp;B7=KHC&amp;KH,TH))</f>
        <v>1695832000</v>
      </c>
      <c r="G7" s="48">
        <f t="shared" si="3"/>
        <v>0</v>
      </c>
      <c r="H7" s="48">
        <f t="shared" si="4"/>
        <v>128430000</v>
      </c>
    </row>
    <row r="8" spans="1:10" s="10" customFormat="1" ht="16.5" customHeight="1">
      <c r="A8" s="6">
        <f t="shared" si="0"/>
        <v>5</v>
      </c>
      <c r="B8" s="43" t="s">
        <v>821</v>
      </c>
      <c r="C8" s="8"/>
      <c r="D8" s="8"/>
      <c r="E8" s="8">
        <f t="array" ref="E8">SUM(IF("331"&amp;B8=KHN&amp;KH,TH))</f>
        <v>793737000</v>
      </c>
      <c r="F8" s="8">
        <f t="array" ref="F8">SUM(IF("331"&amp;B8=KHC&amp;KH,TH))</f>
        <v>1083300000</v>
      </c>
      <c r="G8" s="48">
        <f t="shared" si="3"/>
        <v>0</v>
      </c>
      <c r="H8" s="48">
        <f t="shared" si="4"/>
        <v>289563000</v>
      </c>
    </row>
    <row r="9" spans="1:10" s="10" customFormat="1" ht="16.5" customHeight="1">
      <c r="A9" s="6">
        <f t="shared" si="0"/>
        <v>6</v>
      </c>
      <c r="B9" s="7" t="s">
        <v>1422</v>
      </c>
      <c r="C9" s="8"/>
      <c r="D9" s="8"/>
      <c r="E9" s="8">
        <f t="array" ref="E9">SUM(IF("331"&amp;B9=KHN&amp;KH,TH))</f>
        <v>312474000</v>
      </c>
      <c r="F9" s="8">
        <f t="array" ref="F9">SUM(IF("331"&amp;B9=KHC&amp;KH,TH))</f>
        <v>312474000</v>
      </c>
      <c r="G9" s="48">
        <f t="shared" si="3"/>
        <v>0</v>
      </c>
      <c r="H9" s="48">
        <f t="shared" si="4"/>
        <v>0</v>
      </c>
    </row>
    <row r="10" spans="1:10" s="10" customFormat="1" ht="16.5" customHeight="1">
      <c r="A10" s="6">
        <f t="shared" si="0"/>
        <v>7</v>
      </c>
      <c r="B10" s="7" t="s">
        <v>820</v>
      </c>
      <c r="C10" s="8"/>
      <c r="D10" s="8"/>
      <c r="E10" s="8">
        <f t="array" ref="E10">SUM(IF("331"&amp;B10=KHN&amp;KH,TH))</f>
        <v>1037195000</v>
      </c>
      <c r="F10" s="8">
        <f t="array" ref="F10">SUM(IF("331"&amp;B10=KHC&amp;KH,TH))</f>
        <v>1344395000</v>
      </c>
      <c r="G10" s="48">
        <f t="shared" si="3"/>
        <v>0</v>
      </c>
      <c r="H10" s="48">
        <f t="shared" si="4"/>
        <v>307200000</v>
      </c>
    </row>
    <row r="11" spans="1:10" s="10" customFormat="1" ht="16.5" customHeight="1">
      <c r="A11" s="6">
        <f t="shared" si="0"/>
        <v>8</v>
      </c>
      <c r="B11" s="42" t="s">
        <v>825</v>
      </c>
      <c r="C11" s="8"/>
      <c r="D11" s="8">
        <v>466890000</v>
      </c>
      <c r="E11" s="8">
        <f t="array" ref="E11">SUM(IF("331"&amp;B11=KHN&amp;KH,TH))</f>
        <v>699219000</v>
      </c>
      <c r="F11" s="8">
        <f t="array" ref="F11">SUM(IF("331"&amp;B11=KHC&amp;KH,TH))</f>
        <v>887508000</v>
      </c>
      <c r="G11" s="48">
        <f t="shared" si="3"/>
        <v>0</v>
      </c>
      <c r="H11" s="48">
        <f t="shared" si="4"/>
        <v>655179000</v>
      </c>
    </row>
    <row r="12" spans="1:10" s="10" customFormat="1" ht="16.5" customHeight="1">
      <c r="A12" s="6">
        <f t="shared" si="0"/>
        <v>9</v>
      </c>
      <c r="B12" s="7" t="s">
        <v>844</v>
      </c>
      <c r="C12" s="8"/>
      <c r="D12" s="8">
        <v>200670000</v>
      </c>
      <c r="E12" s="8">
        <f t="array" ref="E12">SUM(IF("331"&amp;B12=KHN&amp;KH,TH))</f>
        <v>100000000</v>
      </c>
      <c r="F12" s="8">
        <f t="array" ref="F12">SUM(IF("331"&amp;B12=KHC&amp;KH,TH))</f>
        <v>0</v>
      </c>
      <c r="G12" s="48">
        <f t="shared" si="3"/>
        <v>0</v>
      </c>
      <c r="H12" s="48">
        <f t="shared" si="4"/>
        <v>100670000</v>
      </c>
    </row>
    <row r="13" spans="1:10" s="10" customFormat="1" ht="16.5" customHeight="1">
      <c r="A13" s="6">
        <f t="shared" si="0"/>
        <v>10</v>
      </c>
      <c r="B13" s="7" t="s">
        <v>827</v>
      </c>
      <c r="C13" s="8"/>
      <c r="D13" s="8"/>
      <c r="E13" s="8">
        <f t="array" ref="E13">SUM(IF("331"&amp;B13=KHN&amp;KH,TH))</f>
        <v>422086000</v>
      </c>
      <c r="F13" s="8">
        <f t="array" ref="F13">SUM(IF("331"&amp;B13=KHC&amp;KH,TH))</f>
        <v>422086000</v>
      </c>
      <c r="G13" s="48">
        <f t="shared" si="3"/>
        <v>0</v>
      </c>
      <c r="H13" s="48">
        <f t="shared" si="4"/>
        <v>0</v>
      </c>
    </row>
    <row r="14" spans="1:10" s="10" customFormat="1" ht="16.5" customHeight="1">
      <c r="A14" s="6">
        <f t="shared" si="0"/>
        <v>11</v>
      </c>
      <c r="B14" s="7" t="s">
        <v>828</v>
      </c>
      <c r="C14" s="8"/>
      <c r="D14" s="8">
        <v>61094000</v>
      </c>
      <c r="E14" s="8">
        <f t="array" ref="E14">SUM(IF("331"&amp;B14=KHN&amp;KH,TH))</f>
        <v>478313000</v>
      </c>
      <c r="F14" s="8">
        <f t="array" ref="F14">SUM(IF("331"&amp;B14=KHC&amp;KH,TH))</f>
        <v>417219000</v>
      </c>
      <c r="G14" s="48">
        <f t="shared" si="3"/>
        <v>0</v>
      </c>
      <c r="H14" s="48">
        <f t="shared" si="4"/>
        <v>0</v>
      </c>
    </row>
    <row r="15" spans="1:10" s="10" customFormat="1" ht="16.5" customHeight="1">
      <c r="A15" s="6">
        <f t="shared" si="0"/>
        <v>12</v>
      </c>
      <c r="B15" s="7" t="s">
        <v>1419</v>
      </c>
      <c r="C15" s="8"/>
      <c r="D15" s="8"/>
      <c r="E15" s="8">
        <f t="array" ref="E15">SUM(IF("331"&amp;B15=KHN&amp;KH,TH))</f>
        <v>444098000</v>
      </c>
      <c r="F15" s="8">
        <f t="array" ref="F15">SUM(IF("331"&amp;B15=KHC&amp;KH,TH))</f>
        <v>561138000</v>
      </c>
      <c r="G15" s="48">
        <f t="shared" si="3"/>
        <v>0</v>
      </c>
      <c r="H15" s="48">
        <f t="shared" si="4"/>
        <v>117040000</v>
      </c>
    </row>
    <row r="16" spans="1:10" s="10" customFormat="1" ht="16.5" customHeight="1">
      <c r="A16" s="6">
        <f t="shared" si="0"/>
        <v>13</v>
      </c>
      <c r="B16" s="7" t="s">
        <v>829</v>
      </c>
      <c r="C16" s="8"/>
      <c r="D16" s="8"/>
      <c r="E16" s="8">
        <f t="array" ref="E16">SUM(IF("331"&amp;B16=KHN&amp;KH,TH))</f>
        <v>1522795000</v>
      </c>
      <c r="F16" s="8">
        <f t="array" ref="F16">SUM(IF("331"&amp;B16=KHC&amp;KH,TH))</f>
        <v>1347660000</v>
      </c>
      <c r="G16" s="48">
        <f t="shared" si="1"/>
        <v>175135000</v>
      </c>
      <c r="H16" s="48">
        <f t="shared" si="2"/>
        <v>0</v>
      </c>
    </row>
    <row r="17" spans="1:8" s="10" customFormat="1" ht="16.5" customHeight="1">
      <c r="A17" s="6">
        <f t="shared" si="0"/>
        <v>14</v>
      </c>
      <c r="B17" s="7" t="s">
        <v>831</v>
      </c>
      <c r="C17" s="8"/>
      <c r="D17" s="8"/>
      <c r="E17" s="8">
        <f t="array" ref="E17">SUM(IF("331"&amp;B17=KHN&amp;KH,TH))</f>
        <v>898535000</v>
      </c>
      <c r="F17" s="8">
        <f t="array" ref="F17">SUM(IF("331"&amp;B17=KHC&amp;KH,TH))</f>
        <v>798535000</v>
      </c>
      <c r="G17" s="48">
        <f t="shared" si="1"/>
        <v>100000000</v>
      </c>
      <c r="H17" s="48">
        <f t="shared" si="2"/>
        <v>0</v>
      </c>
    </row>
    <row r="18" spans="1:8" s="10" customFormat="1" ht="16.5" customHeight="1">
      <c r="A18" s="6">
        <f t="shared" si="0"/>
        <v>15</v>
      </c>
      <c r="B18" s="7" t="s">
        <v>832</v>
      </c>
      <c r="C18" s="8"/>
      <c r="D18" s="8"/>
      <c r="E18" s="8">
        <f t="array" ref="E18">SUM(IF("331"&amp;B18=KHN&amp;KH,TH))</f>
        <v>649383000</v>
      </c>
      <c r="F18" s="8">
        <f t="array" ref="F18">SUM(IF("331"&amp;B18=KHC&amp;KH,TH))</f>
        <v>679799600</v>
      </c>
      <c r="G18" s="48">
        <f t="shared" si="1"/>
        <v>0</v>
      </c>
      <c r="H18" s="48">
        <f t="shared" si="2"/>
        <v>30416600</v>
      </c>
    </row>
    <row r="19" spans="1:8" s="10" customFormat="1" ht="16.5" customHeight="1">
      <c r="A19" s="6">
        <f t="shared" si="0"/>
        <v>16</v>
      </c>
      <c r="B19" s="7" t="s">
        <v>834</v>
      </c>
      <c r="C19" s="8"/>
      <c r="D19" s="8"/>
      <c r="E19" s="8">
        <f t="array" ref="E19">SUM(IF("331"&amp;B19=KHN&amp;KH,TH))</f>
        <v>648153000</v>
      </c>
      <c r="F19" s="8">
        <f t="array" ref="F19">SUM(IF("331"&amp;B19=KHC&amp;KH,TH))</f>
        <v>648153000</v>
      </c>
      <c r="G19" s="48">
        <f t="shared" si="1"/>
        <v>0</v>
      </c>
      <c r="H19" s="48">
        <f t="shared" si="2"/>
        <v>0</v>
      </c>
    </row>
    <row r="20" spans="1:8" s="10" customFormat="1" ht="16.5" customHeight="1">
      <c r="A20" s="6">
        <f t="shared" si="0"/>
        <v>17</v>
      </c>
      <c r="B20" s="7" t="s">
        <v>1397</v>
      </c>
      <c r="C20" s="8"/>
      <c r="D20" s="8"/>
      <c r="E20" s="8">
        <f t="array" ref="E20">SUM(IF("331"&amp;B20=KHN&amp;KH,TH))</f>
        <v>178360000</v>
      </c>
      <c r="F20" s="8">
        <f t="array" ref="F20">SUM(IF("331"&amp;B20=KHC&amp;KH,TH))</f>
        <v>178360000</v>
      </c>
      <c r="G20" s="48">
        <f t="shared" si="1"/>
        <v>0</v>
      </c>
      <c r="H20" s="48">
        <f t="shared" si="2"/>
        <v>0</v>
      </c>
    </row>
    <row r="21" spans="1:8" s="10" customFormat="1" ht="16.5" customHeight="1">
      <c r="A21" s="6">
        <f t="shared" ref="A21:A33" si="5">IF(B21&lt;&gt;"",ROW()-3,"")</f>
        <v>18</v>
      </c>
      <c r="B21" s="7" t="s">
        <v>1421</v>
      </c>
      <c r="C21" s="8"/>
      <c r="D21" s="8"/>
      <c r="E21" s="8">
        <f t="array" ref="E21">SUM(IF("331"&amp;B21=KHN&amp;KH,TH))</f>
        <v>750000000</v>
      </c>
      <c r="F21" s="8">
        <f t="array" ref="F21">SUM(IF("331"&amp;B21=KHC&amp;KH,TH))</f>
        <v>810317000</v>
      </c>
      <c r="G21" s="48">
        <f t="shared" ref="G21:G29" si="6">ROUND(MAX(C21+E21-D21-F21,0),2)</f>
        <v>0</v>
      </c>
      <c r="H21" s="48">
        <f t="shared" ref="H21:H29" si="7">ROUND(MAX(D21+F21-C21-E21,0),2)</f>
        <v>60317000</v>
      </c>
    </row>
    <row r="22" spans="1:8" s="10" customFormat="1" ht="16.5" customHeight="1">
      <c r="A22" s="6">
        <f t="shared" si="5"/>
        <v>19</v>
      </c>
      <c r="B22" s="7" t="s">
        <v>840</v>
      </c>
      <c r="C22" s="8"/>
      <c r="D22" s="8"/>
      <c r="E22" s="8">
        <f t="array" ref="E22">SUM(IF("331"&amp;B22=KHN&amp;KH,TH))</f>
        <v>500000000</v>
      </c>
      <c r="F22" s="8">
        <f t="array" ref="F22">SUM(IF("331"&amp;B22=KHC&amp;KH,TH))</f>
        <v>746532000</v>
      </c>
      <c r="G22" s="48">
        <f t="shared" si="6"/>
        <v>0</v>
      </c>
      <c r="H22" s="48">
        <f t="shared" si="7"/>
        <v>246532000</v>
      </c>
    </row>
    <row r="23" spans="1:8" s="10" customFormat="1" ht="16.5" customHeight="1">
      <c r="A23" s="6">
        <f t="shared" si="5"/>
        <v>20</v>
      </c>
      <c r="B23" s="7" t="s">
        <v>841</v>
      </c>
      <c r="C23" s="8"/>
      <c r="D23" s="8">
        <v>1132020000</v>
      </c>
      <c r="E23" s="8">
        <f t="array" ref="E23">SUM(IF("331"&amp;B23=KHN&amp;KH,TH))</f>
        <v>400000000</v>
      </c>
      <c r="F23" s="8">
        <f t="array" ref="F23">SUM(IF("331"&amp;B23=KHC&amp;KH,TH))</f>
        <v>0</v>
      </c>
      <c r="G23" s="48">
        <f t="shared" si="6"/>
        <v>0</v>
      </c>
      <c r="H23" s="48">
        <f t="shared" si="7"/>
        <v>732020000</v>
      </c>
    </row>
    <row r="24" spans="1:8" s="10" customFormat="1" ht="16.5" customHeight="1">
      <c r="A24" s="6">
        <f t="shared" si="5"/>
        <v>21</v>
      </c>
      <c r="B24" s="43" t="s">
        <v>823</v>
      </c>
      <c r="C24" s="8"/>
      <c r="D24" s="8"/>
      <c r="E24" s="8">
        <f t="array" ref="E24">SUM(IF("331"&amp;B24=KHN&amp;KH,TH))</f>
        <v>793110000</v>
      </c>
      <c r="F24" s="8">
        <f t="array" ref="F24">SUM(IF("331"&amp;B24=KHC&amp;KH,TH))</f>
        <v>829959000</v>
      </c>
      <c r="G24" s="48">
        <f t="shared" si="6"/>
        <v>0</v>
      </c>
      <c r="H24" s="48">
        <f t="shared" si="7"/>
        <v>36849000</v>
      </c>
    </row>
    <row r="25" spans="1:8" s="10" customFormat="1" ht="16.5" customHeight="1">
      <c r="A25" s="6">
        <f t="shared" si="5"/>
        <v>22</v>
      </c>
      <c r="B25" s="7" t="s">
        <v>1420</v>
      </c>
      <c r="C25" s="8"/>
      <c r="D25" s="8"/>
      <c r="E25" s="8">
        <f t="array" ref="E25">SUM(IF("331"&amp;B25=KHN&amp;KH,TH))</f>
        <v>750000000</v>
      </c>
      <c r="F25" s="8">
        <f t="array" ref="F25">SUM(IF("331"&amp;B25=KHC&amp;KH,TH))</f>
        <v>897343000</v>
      </c>
      <c r="G25" s="48">
        <f t="shared" si="6"/>
        <v>0</v>
      </c>
      <c r="H25" s="48">
        <f t="shared" si="7"/>
        <v>147343000</v>
      </c>
    </row>
    <row r="26" spans="1:8" s="10" customFormat="1" ht="16.5" customHeight="1">
      <c r="A26" s="6">
        <f t="shared" si="5"/>
        <v>23</v>
      </c>
      <c r="B26" s="7" t="s">
        <v>839</v>
      </c>
      <c r="C26" s="8"/>
      <c r="D26" s="8">
        <v>1240442000</v>
      </c>
      <c r="E26" s="8">
        <f t="array" ref="E26">SUM(IF("331"&amp;B26=KHN&amp;KH,TH))</f>
        <v>2948461000</v>
      </c>
      <c r="F26" s="8">
        <f t="array" ref="F26">SUM(IF("331"&amp;B26=KHC&amp;KH,TH))</f>
        <v>1849500000</v>
      </c>
      <c r="G26" s="48">
        <f t="shared" si="6"/>
        <v>0</v>
      </c>
      <c r="H26" s="48">
        <f t="shared" si="7"/>
        <v>141481000</v>
      </c>
    </row>
    <row r="27" spans="1:8" s="10" customFormat="1" ht="16.5" customHeight="1">
      <c r="A27" s="6">
        <f t="shared" si="5"/>
        <v>24</v>
      </c>
      <c r="B27" s="43" t="s">
        <v>846</v>
      </c>
      <c r="C27" s="8"/>
      <c r="D27" s="8"/>
      <c r="E27" s="8">
        <f t="array" ref="E27">SUM(IF("331"&amp;B27=KHN&amp;KH,TH))</f>
        <v>743109000</v>
      </c>
      <c r="F27" s="8">
        <f t="array" ref="F27">SUM(IF("331"&amp;B27=KHC&amp;KH,TH))</f>
        <v>743109000</v>
      </c>
      <c r="G27" s="48">
        <f t="shared" si="6"/>
        <v>0</v>
      </c>
      <c r="H27" s="48">
        <f t="shared" si="7"/>
        <v>0</v>
      </c>
    </row>
    <row r="28" spans="1:8" s="10" customFormat="1" ht="16.5" customHeight="1">
      <c r="A28" s="6">
        <f t="shared" si="5"/>
        <v>25</v>
      </c>
      <c r="B28" s="7" t="s">
        <v>848</v>
      </c>
      <c r="C28" s="8"/>
      <c r="D28" s="8"/>
      <c r="E28" s="8">
        <f t="array" ref="E28">SUM(IF("331"&amp;B28=KHN&amp;KH,TH))</f>
        <v>1453225000</v>
      </c>
      <c r="F28" s="8">
        <f t="array" ref="F28">SUM(IF("331"&amp;B28=KHC&amp;KH,TH))</f>
        <v>1453225000</v>
      </c>
      <c r="G28" s="48">
        <f t="shared" si="6"/>
        <v>0</v>
      </c>
      <c r="H28" s="48">
        <f t="shared" si="7"/>
        <v>0</v>
      </c>
    </row>
    <row r="29" spans="1:8" s="10" customFormat="1" ht="16.5" customHeight="1">
      <c r="A29" s="6">
        <f t="shared" si="5"/>
        <v>26</v>
      </c>
      <c r="B29" s="42" t="s">
        <v>849</v>
      </c>
      <c r="C29" s="8"/>
      <c r="D29" s="8">
        <v>125599000</v>
      </c>
      <c r="E29" s="8">
        <f t="array" ref="E29">SUM(IF("331"&amp;B29=KHN&amp;KH,TH))</f>
        <v>2426201600</v>
      </c>
      <c r="F29" s="8">
        <f t="array" ref="F29">SUM(IF("331"&amp;B29=KHC&amp;KH,TH))</f>
        <v>2668060600</v>
      </c>
      <c r="G29" s="48">
        <f t="shared" si="6"/>
        <v>0</v>
      </c>
      <c r="H29" s="48">
        <f t="shared" si="7"/>
        <v>367458000</v>
      </c>
    </row>
    <row r="30" spans="1:8" s="10" customFormat="1" ht="16.5" customHeight="1">
      <c r="A30" s="6">
        <f t="shared" si="5"/>
        <v>27</v>
      </c>
      <c r="B30" s="7" t="s">
        <v>1527</v>
      </c>
      <c r="C30" s="8"/>
      <c r="D30" s="8"/>
      <c r="E30" s="8">
        <f t="array" ref="E30">SUM(IF("331"&amp;B30=KHN&amp;KH,TH))</f>
        <v>0</v>
      </c>
      <c r="F30" s="8">
        <f t="array" ref="F30">SUM(IF("331"&amp;B30=KHC&amp;KH,TH))</f>
        <v>114100000</v>
      </c>
      <c r="G30" s="48">
        <f t="shared" ref="G30" si="8">ROUND(MAX(C30+E30-D30-F30,0),2)</f>
        <v>0</v>
      </c>
      <c r="H30" s="48">
        <f t="shared" ref="H30" si="9">ROUND(MAX(D30+F30-C30-E30,0),2)</f>
        <v>114100000</v>
      </c>
    </row>
    <row r="31" spans="1:8" s="10" customFormat="1" ht="16.5" customHeight="1">
      <c r="A31" s="6">
        <f t="shared" si="5"/>
        <v>28</v>
      </c>
      <c r="B31" s="7" t="s">
        <v>1528</v>
      </c>
      <c r="C31" s="8"/>
      <c r="D31" s="8">
        <v>145985000</v>
      </c>
      <c r="E31" s="8">
        <f t="array" ref="E31">SUM(IF("331"&amp;B31=KHN&amp;KH,TH))</f>
        <v>0</v>
      </c>
      <c r="F31" s="8">
        <f t="array" ref="F31">SUM(IF("331"&amp;B31=KHC&amp;KH,TH))</f>
        <v>0</v>
      </c>
      <c r="G31" s="48">
        <f t="shared" ref="G31" si="10">ROUND(MAX(C31+E31-D31-F31,0),2)</f>
        <v>0</v>
      </c>
      <c r="H31" s="48">
        <f t="shared" ref="H31" si="11">ROUND(MAX(D31+F31-C31-E31,0),2)</f>
        <v>145985000</v>
      </c>
    </row>
    <row r="32" spans="1:8" s="10" customFormat="1" ht="16.5" customHeight="1">
      <c r="A32" s="6">
        <f t="shared" si="5"/>
        <v>29</v>
      </c>
      <c r="B32" s="7" t="s">
        <v>1123</v>
      </c>
      <c r="C32" s="8"/>
      <c r="D32" s="8"/>
      <c r="E32" s="8">
        <f t="array" ref="E32">SUM(IF("331"&amp;B32=KHN&amp;KH,TH))</f>
        <v>71860000</v>
      </c>
      <c r="F32" s="8">
        <f t="array" ref="F32">SUM(IF("331"&amp;B32=KHC&amp;KH,TH))</f>
        <v>140380000</v>
      </c>
      <c r="G32" s="48">
        <f t="shared" ref="G32" si="12">ROUND(MAX(C32+E32-D32-F32,0),2)</f>
        <v>0</v>
      </c>
      <c r="H32" s="48">
        <f t="shared" ref="H32" si="13">ROUND(MAX(D32+F32-C32-E32,0),2)</f>
        <v>68520000</v>
      </c>
    </row>
    <row r="33" spans="1:8" s="10" customFormat="1" ht="16.5" customHeight="1">
      <c r="A33" s="6">
        <f t="shared" si="5"/>
        <v>30</v>
      </c>
      <c r="B33" s="7" t="s">
        <v>1569</v>
      </c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17280000</v>
      </c>
      <c r="G33" s="48">
        <f t="shared" ref="G33" si="14">ROUND(MAX(C33+E33-D33-F33,0),2)</f>
        <v>0</v>
      </c>
      <c r="H33" s="48">
        <f t="shared" ref="H33" si="15">ROUND(MAX(D33+F33-C33-E33,0),2)</f>
        <v>17280000</v>
      </c>
    </row>
    <row r="34" spans="1:8" s="10" customFormat="1" ht="16.5" customHeight="1">
      <c r="A34" s="6">
        <f t="shared" ref="A34" si="16">IF(B34&lt;&gt;"",ROW()-3,"")</f>
        <v>31</v>
      </c>
      <c r="B34" s="7" t="s">
        <v>1570</v>
      </c>
      <c r="C34" s="8"/>
      <c r="D34" s="8"/>
      <c r="E34" s="8">
        <f t="array" ref="E34">SUM(IF("331"&amp;B34=KHN&amp;KH,TH))</f>
        <v>1409360000</v>
      </c>
      <c r="F34" s="8">
        <f t="array" ref="F34">SUM(IF("331"&amp;B34=KHC&amp;KH,TH))</f>
        <v>968936000</v>
      </c>
      <c r="G34" s="48">
        <f t="shared" ref="G34" si="17">ROUND(MAX(C34+E34-D34-F34,0),2)</f>
        <v>440424000</v>
      </c>
      <c r="H34" s="48">
        <f t="shared" ref="H34" si="18">ROUND(MAX(D34+F34-C34-E34,0),2)</f>
        <v>0</v>
      </c>
    </row>
    <row r="35" spans="1:8" s="10" customFormat="1" ht="16.5" customHeight="1">
      <c r="A35" s="6">
        <f t="shared" ref="A35" si="19">IF(B35&lt;&gt;"",ROW()-3,"")</f>
        <v>32</v>
      </c>
      <c r="B35" s="7" t="s">
        <v>1666</v>
      </c>
      <c r="C35" s="8"/>
      <c r="D35" s="8"/>
      <c r="E35" s="8">
        <f t="array" ref="E35">SUM(IF("331"&amp;B35=KHN&amp;KH,TH))</f>
        <v>0</v>
      </c>
      <c r="F35" s="8">
        <f t="array" ref="F35">SUM(IF("331"&amp;B35=KHC&amp;KH,TH))</f>
        <v>106092000</v>
      </c>
      <c r="G35" s="48">
        <f t="shared" ref="G35" si="20">ROUND(MAX(C35+E35-D35-F35,0),2)</f>
        <v>0</v>
      </c>
      <c r="H35" s="48">
        <f t="shared" ref="H35" si="21">ROUND(MAX(D35+F35-C35-E35,0),2)</f>
        <v>106092000</v>
      </c>
    </row>
    <row r="36" spans="1:8" s="10" customFormat="1" ht="16.5" customHeight="1">
      <c r="A36" s="6"/>
      <c r="B36" s="7"/>
      <c r="C36" s="8"/>
      <c r="D36" s="8"/>
      <c r="E36" s="8"/>
      <c r="F36" s="8"/>
      <c r="G36" s="48"/>
      <c r="H36" s="48"/>
    </row>
    <row r="37" spans="1:8" s="14" customFormat="1" ht="14.25" customHeight="1">
      <c r="A37" s="11"/>
      <c r="B37" s="12" t="s">
        <v>28</v>
      </c>
      <c r="C37" s="13">
        <f t="shared" ref="C37:H37" si="22">SUM(C4:C36)</f>
        <v>0</v>
      </c>
      <c r="D37" s="13">
        <f t="shared" si="22"/>
        <v>3372700000</v>
      </c>
      <c r="E37" s="13">
        <f t="shared" si="22"/>
        <v>23660245600</v>
      </c>
      <c r="F37" s="13">
        <f t="shared" si="22"/>
        <v>23836005200</v>
      </c>
      <c r="G37" s="13">
        <f t="shared" si="22"/>
        <v>715559000</v>
      </c>
      <c r="H37" s="13">
        <f t="shared" si="22"/>
        <v>4264018600</v>
      </c>
    </row>
    <row r="39" spans="1:8">
      <c r="E39" s="15"/>
      <c r="F39" s="15"/>
    </row>
    <row r="41" spans="1:8">
      <c r="E41" s="137"/>
      <c r="F41" s="137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91"/>
  <sheetViews>
    <sheetView topLeftCell="A4" workbookViewId="0">
      <pane ySplit="7" topLeftCell="A11" activePane="bottomLeft" state="frozen"/>
      <selection activeCell="A4" sqref="A4"/>
      <selection pane="bottomLeft" activeCell="A12" sqref="A12:I28"/>
    </sheetView>
  </sheetViews>
  <sheetFormatPr defaultRowHeight="12.75"/>
  <cols>
    <col min="1" max="1" width="9.140625" customWidth="1"/>
    <col min="2" max="2" width="7.42578125" style="221" hidden="1" customWidth="1"/>
    <col min="3" max="3" width="9.140625" hidden="1" customWidth="1"/>
    <col min="4" max="4" width="32.28515625" customWidth="1"/>
    <col min="5" max="5" width="8.5703125" customWidth="1"/>
    <col min="6" max="6" width="9.5703125" customWidth="1"/>
    <col min="7" max="9" width="14" customWidth="1"/>
  </cols>
  <sheetData>
    <row r="1" spans="1:9" s="3" customFormat="1" ht="14.25" customHeight="1">
      <c r="A1" s="1" t="s">
        <v>1553</v>
      </c>
      <c r="B1" s="215"/>
      <c r="C1" s="16"/>
      <c r="G1" s="2"/>
      <c r="H1" s="296"/>
      <c r="I1" s="296"/>
    </row>
    <row r="2" spans="1:9" s="3" customFormat="1" ht="14.25" customHeight="1">
      <c r="A2" s="1" t="s">
        <v>82</v>
      </c>
      <c r="B2" s="215"/>
      <c r="C2" s="16"/>
      <c r="G2" s="17"/>
      <c r="H2" s="297"/>
      <c r="I2" s="297"/>
    </row>
    <row r="3" spans="1:9" s="3" customFormat="1" ht="14.25" customHeight="1">
      <c r="A3" s="4" t="s">
        <v>1554</v>
      </c>
      <c r="B3" s="215"/>
      <c r="C3" s="16"/>
      <c r="G3" s="17"/>
      <c r="H3" s="297"/>
      <c r="I3" s="297"/>
    </row>
    <row r="4" spans="1:9" s="5" customFormat="1" ht="28.5" customHeight="1">
      <c r="A4" s="300" t="s">
        <v>1555</v>
      </c>
      <c r="B4" s="300"/>
      <c r="C4" s="300"/>
      <c r="D4" s="300"/>
      <c r="E4" s="300"/>
      <c r="F4" s="300"/>
      <c r="G4" s="300"/>
      <c r="H4" s="300"/>
      <c r="I4" s="300"/>
    </row>
    <row r="5" spans="1:9" s="18" customFormat="1" ht="14.25" customHeight="1">
      <c r="B5" s="216"/>
      <c r="E5" s="208" t="s">
        <v>33</v>
      </c>
      <c r="F5" s="302" t="s">
        <v>1393</v>
      </c>
      <c r="G5" s="302"/>
      <c r="H5" s="236"/>
    </row>
    <row r="6" spans="1:9" s="18" customFormat="1" ht="6.75" customHeight="1">
      <c r="B6" s="217"/>
      <c r="C6" s="298"/>
      <c r="D6" s="298"/>
      <c r="E6" s="298"/>
      <c r="F6" s="298"/>
      <c r="G6" s="298"/>
      <c r="H6" s="298"/>
      <c r="I6" s="298"/>
    </row>
    <row r="7" spans="1:9" s="18" customFormat="1" ht="14.25" customHeight="1">
      <c r="A7" s="280" t="s">
        <v>16</v>
      </c>
      <c r="B7" s="299" t="s">
        <v>1</v>
      </c>
      <c r="C7" s="299"/>
      <c r="D7" s="280" t="s">
        <v>0</v>
      </c>
      <c r="E7" s="280" t="s">
        <v>13</v>
      </c>
      <c r="F7" s="280"/>
      <c r="G7" s="280"/>
      <c r="H7" s="301" t="s">
        <v>1564</v>
      </c>
      <c r="I7" s="299" t="s">
        <v>21</v>
      </c>
    </row>
    <row r="8" spans="1:9" s="18" customFormat="1" ht="28.5" customHeight="1">
      <c r="A8" s="280"/>
      <c r="B8" s="218" t="s">
        <v>14</v>
      </c>
      <c r="C8" s="28" t="s">
        <v>22</v>
      </c>
      <c r="D8" s="280"/>
      <c r="E8" s="222" t="s">
        <v>100</v>
      </c>
      <c r="F8" s="222" t="s">
        <v>101</v>
      </c>
      <c r="G8" s="28" t="s">
        <v>1556</v>
      </c>
      <c r="H8" s="301"/>
      <c r="I8" s="299"/>
    </row>
    <row r="9" spans="1:9" s="18" customFormat="1" ht="11.25" customHeight="1">
      <c r="A9" s="20" t="s">
        <v>2</v>
      </c>
      <c r="B9" s="219" t="s">
        <v>3</v>
      </c>
      <c r="C9" s="20" t="s">
        <v>4</v>
      </c>
      <c r="D9" s="20" t="s">
        <v>5</v>
      </c>
      <c r="E9" s="20" t="s">
        <v>6</v>
      </c>
      <c r="F9" s="20">
        <v>1</v>
      </c>
      <c r="G9" s="20">
        <v>2</v>
      </c>
      <c r="H9" s="20">
        <v>3</v>
      </c>
      <c r="I9" s="20">
        <v>4</v>
      </c>
    </row>
    <row r="10" spans="1:9" s="18" customFormat="1" ht="18" customHeight="1">
      <c r="A10" s="20"/>
      <c r="B10" s="25"/>
      <c r="C10" s="20"/>
      <c r="D10" s="21" t="s">
        <v>7</v>
      </c>
      <c r="E10" s="20"/>
      <c r="F10" s="22"/>
      <c r="G10" s="22"/>
      <c r="H10" s="22"/>
      <c r="I10" s="46">
        <f>VLOOKUP($F$5,'331'!$B$4:$H$36,3,0)</f>
        <v>0</v>
      </c>
    </row>
    <row r="11" spans="1:9" s="18" customFormat="1" ht="18" customHeight="1">
      <c r="A11" s="9">
        <f ca="1">IF(ROWS($1:1)&gt;COUNT(Dong),"",OFFSET(TH!C$1,SMALL(Dong,ROWS($1:1)),))</f>
        <v>42676</v>
      </c>
      <c r="B11" s="51">
        <f ca="1">IF(ROWS($1:1)&gt;COUNT(Dong),"",OFFSET(TH!D$1,SMALL(Dong,ROWS($1:1)),))</f>
        <v>0</v>
      </c>
      <c r="C11" s="9">
        <f ca="1">IF(ROWS($1:1)&gt;COUNT(Dong),"",OFFSET(TH!E$1,SMALL(Dong,ROWS($1:1)),))</f>
        <v>42676</v>
      </c>
      <c r="D11" s="163" t="str">
        <f ca="1">IF(ROWS($1:1)&gt;COUNT(Dong),"",OFFSET(TH!F$1,SMALL(Dong,ROWS($1:1)),))</f>
        <v>Bò VN NL</v>
      </c>
      <c r="E11" s="223">
        <f ca="1">IF(ROWS($1:1)&gt;COUNT(Dong),"",OFFSET(TH!I$1,SMALL(Dong,ROWS($1:1)),))</f>
        <v>5008</v>
      </c>
      <c r="F11" s="223">
        <f ca="1">IF(ROWS($1:1)&gt;COUNT(Dong),"",OFFSET(TH!J$1,SMALL(Dong,ROWS($1:1)),))</f>
        <v>9000</v>
      </c>
      <c r="G11" s="51">
        <f ca="1">IF(ROWS($1:1)&gt;COUNT(Dong),"",IF(OFFSET(TH!O$1,SMALL(Dong,ROWS($1:1)),)="331",OFFSET(TH!M$1,SMALL(Dong,ROWS($1:1)),),0))</f>
        <v>45072000</v>
      </c>
      <c r="H11" s="51">
        <f ca="1">IF(ROWS($1:1)&gt;COUNT(Dong),"",IF(OFFSET(TH!N$1,SMALL(Dong,ROWS($1:1)),)="331",OFFSET(TH!M$1,SMALL(Dong,ROWS($1:1)),),0))</f>
        <v>0</v>
      </c>
      <c r="I11" s="23">
        <f ca="1">IF(D11&lt;&gt;"",I10+G11-H11,0)</f>
        <v>45072000</v>
      </c>
    </row>
    <row r="12" spans="1:9" s="18" customFormat="1" ht="18" customHeight="1">
      <c r="A12" s="9">
        <f ca="1">IF(ROWS($1:2)&gt;COUNT(Dong),"",OFFSET(TH!C$1,SMALL(Dong,ROWS($1:2)),))</f>
        <v>42677</v>
      </c>
      <c r="B12" s="51">
        <f ca="1">IF(ROWS($1:2)&gt;COUNT(Dong),"",OFFSET(TH!D$1,SMALL(Dong,ROWS($1:2)),))</f>
        <v>0</v>
      </c>
      <c r="C12" s="9">
        <f ca="1">IF(ROWS($1:2)&gt;COUNT(Dong),"",OFFSET(TH!E$1,SMALL(Dong,ROWS($1:2)),))</f>
        <v>42677</v>
      </c>
      <c r="D12" s="163" t="str">
        <f ca="1">IF(ROWS($1:2)&gt;COUNT(Dong),"",OFFSET(TH!F$1,SMALL(Dong,ROWS($1:2)),))</f>
        <v>Chỉ Nl</v>
      </c>
      <c r="E12" s="223">
        <f ca="1">IF(ROWS($1:2)&gt;COUNT(Dong),"",OFFSET(TH!I$1,SMALL(Dong,ROWS($1:2)),))</f>
        <v>4761</v>
      </c>
      <c r="F12" s="223">
        <f ca="1">IF(ROWS($1:2)&gt;COUNT(Dong),"",OFFSET(TH!J$1,SMALL(Dong,ROWS($1:2)),))</f>
        <v>18000</v>
      </c>
      <c r="G12" s="51">
        <f ca="1">IF(ROWS($1:2)&gt;COUNT(Dong),"",IF(OFFSET(TH!O$1,SMALL(Dong,ROWS($1:2)),)="331",OFFSET(TH!M$1,SMALL(Dong,ROWS($1:2)),),0))</f>
        <v>85698000</v>
      </c>
      <c r="H12" s="51">
        <f ca="1">IF(ROWS($1:2)&gt;COUNT(Dong),"",IF(OFFSET(TH!N$1,SMALL(Dong,ROWS($1:2)),)="331",OFFSET(TH!M$1,SMALL(Dong,ROWS($1:2)),),0))</f>
        <v>0</v>
      </c>
      <c r="I12" s="23">
        <f t="shared" ref="I12:I47" ca="1" si="0">IF(D12&lt;&gt;"",I11+G12-H12,0)</f>
        <v>130770000</v>
      </c>
    </row>
    <row r="13" spans="1:9" s="18" customFormat="1" ht="18" customHeight="1">
      <c r="A13" s="9">
        <f ca="1">IF(ROWS($1:3)&gt;COUNT(Dong),"",OFFSET(TH!C$1,SMALL(Dong,ROWS($1:3)),))</f>
        <v>42677</v>
      </c>
      <c r="B13" s="51">
        <f ca="1">IF(ROWS($1:3)&gt;COUNT(Dong),"",OFFSET(TH!D$1,SMALL(Dong,ROWS($1:3)),))</f>
        <v>0</v>
      </c>
      <c r="C13" s="9">
        <f ca="1">IF(ROWS($1:3)&gt;COUNT(Dong),"",OFFSET(TH!E$1,SMALL(Dong,ROWS($1:3)),))</f>
        <v>42677</v>
      </c>
      <c r="D13" s="163" t="str">
        <f ca="1">IF(ROWS($1:3)&gt;COUNT(Dong),"",OFFSET(TH!F$1,SMALL(Dong,ROWS($1:3)),))</f>
        <v>Ngân NL</v>
      </c>
      <c r="E13" s="223">
        <f ca="1">IF(ROWS($1:3)&gt;COUNT(Dong),"",OFFSET(TH!I$1,SMALL(Dong,ROWS($1:3)),))</f>
        <v>13</v>
      </c>
      <c r="F13" s="223">
        <f ca="1">IF(ROWS($1:3)&gt;COUNT(Dong),"",OFFSET(TH!J$1,SMALL(Dong,ROWS($1:3)),))</f>
        <v>0</v>
      </c>
      <c r="G13" s="51">
        <f ca="1">IF(ROWS($1:3)&gt;COUNT(Dong),"",IF(OFFSET(TH!O$1,SMALL(Dong,ROWS($1:3)),)="331",OFFSET(TH!M$1,SMALL(Dong,ROWS($1:3)),),0))</f>
        <v>0</v>
      </c>
      <c r="H13" s="51">
        <f ca="1">IF(ROWS($1:3)&gt;COUNT(Dong),"",IF(OFFSET(TH!N$1,SMALL(Dong,ROWS($1:3)),)="331",OFFSET(TH!M$1,SMALL(Dong,ROWS($1:3)),),0))</f>
        <v>0</v>
      </c>
      <c r="I13" s="23">
        <f t="shared" ref="I13:I28" ca="1" si="1">IF(D13&lt;&gt;"",I12+G13-H13,0)</f>
        <v>130770000</v>
      </c>
    </row>
    <row r="14" spans="1:9" s="18" customFormat="1" ht="18" customHeight="1">
      <c r="A14" s="9">
        <f ca="1">IF(ROWS($1:4)&gt;COUNT(Dong),"",OFFSET(TH!C$1,SMALL(Dong,ROWS($1:4)),))</f>
        <v>42678</v>
      </c>
      <c r="B14" s="51">
        <f ca="1">IF(ROWS($1:4)&gt;COUNT(Dong),"",OFFSET(TH!D$1,SMALL(Dong,ROWS($1:4)),))</f>
        <v>0</v>
      </c>
      <c r="C14" s="9">
        <f ca="1">IF(ROWS($1:4)&gt;COUNT(Dong),"",OFFSET(TH!E$1,SMALL(Dong,ROWS($1:4)),))</f>
        <v>42678</v>
      </c>
      <c r="D14" s="163" t="str">
        <f ca="1">IF(ROWS($1:4)&gt;COUNT(Dong),"",OFFSET(TH!F$1,SMALL(Dong,ROWS($1:4)),))</f>
        <v>Chỉ Nl</v>
      </c>
      <c r="E14" s="223">
        <f ca="1">IF(ROWS($1:4)&gt;COUNT(Dong),"",OFFSET(TH!I$1,SMALL(Dong,ROWS($1:4)),))</f>
        <v>4668</v>
      </c>
      <c r="F14" s="223">
        <f ca="1">IF(ROWS($1:4)&gt;COUNT(Dong),"",OFFSET(TH!J$1,SMALL(Dong,ROWS($1:4)),))</f>
        <v>16000</v>
      </c>
      <c r="G14" s="51">
        <f ca="1">IF(ROWS($1:4)&gt;COUNT(Dong),"",IF(OFFSET(TH!O$1,SMALL(Dong,ROWS($1:4)),)="331",OFFSET(TH!M$1,SMALL(Dong,ROWS($1:4)),),0))</f>
        <v>74688000</v>
      </c>
      <c r="H14" s="51">
        <f ca="1">IF(ROWS($1:4)&gt;COUNT(Dong),"",IF(OFFSET(TH!N$1,SMALL(Dong,ROWS($1:4)),)="331",OFFSET(TH!M$1,SMALL(Dong,ROWS($1:4)),),0))</f>
        <v>0</v>
      </c>
      <c r="I14" s="23">
        <f t="shared" ca="1" si="1"/>
        <v>205458000</v>
      </c>
    </row>
    <row r="15" spans="1:9" s="18" customFormat="1" ht="18" customHeight="1">
      <c r="A15" s="9">
        <f ca="1">IF(ROWS($1:5)&gt;COUNT(Dong),"",OFFSET(TH!C$1,SMALL(Dong,ROWS($1:5)),))</f>
        <v>42679</v>
      </c>
      <c r="B15" s="51">
        <f ca="1">IF(ROWS($1:5)&gt;COUNT(Dong),"",OFFSET(TH!D$1,SMALL(Dong,ROWS($1:5)),))</f>
        <v>0</v>
      </c>
      <c r="C15" s="9">
        <f ca="1">IF(ROWS($1:5)&gt;COUNT(Dong),"",OFFSET(TH!E$1,SMALL(Dong,ROWS($1:5)),))</f>
        <v>42679</v>
      </c>
      <c r="D15" s="163" t="str">
        <f ca="1">IF(ROWS($1:5)&gt;COUNT(Dong),"",OFFSET(TH!F$1,SMALL(Dong,ROWS($1:5)),))</f>
        <v>Bò VN NL</v>
      </c>
      <c r="E15" s="223">
        <f ca="1">IF(ROWS($1:5)&gt;COUNT(Dong),"",OFFSET(TH!I$1,SMALL(Dong,ROWS($1:5)),))</f>
        <v>13154</v>
      </c>
      <c r="F15" s="223">
        <f ca="1">IF(ROWS($1:5)&gt;COUNT(Dong),"",OFFSET(TH!J$1,SMALL(Dong,ROWS($1:5)),))</f>
        <v>10000</v>
      </c>
      <c r="G15" s="51">
        <f ca="1">IF(ROWS($1:5)&gt;COUNT(Dong),"",IF(OFFSET(TH!O$1,SMALL(Dong,ROWS($1:5)),)="331",OFFSET(TH!M$1,SMALL(Dong,ROWS($1:5)),),0))</f>
        <v>131540000</v>
      </c>
      <c r="H15" s="51">
        <f ca="1">IF(ROWS($1:5)&gt;COUNT(Dong),"",IF(OFFSET(TH!N$1,SMALL(Dong,ROWS($1:5)),)="331",OFFSET(TH!M$1,SMALL(Dong,ROWS($1:5)),),0))</f>
        <v>0</v>
      </c>
      <c r="I15" s="23">
        <f t="shared" ca="1" si="1"/>
        <v>336998000</v>
      </c>
    </row>
    <row r="16" spans="1:9" s="18" customFormat="1" ht="18" customHeight="1">
      <c r="A16" s="9">
        <f ca="1">IF(ROWS($1:6)&gt;COUNT(Dong),"",OFFSET(TH!C$1,SMALL(Dong,ROWS($1:6)),))</f>
        <v>42685</v>
      </c>
      <c r="B16" s="51" t="str">
        <f ca="1">IF(ROWS($1:6)&gt;COUNT(Dong),"",OFFSET(TH!D$1,SMALL(Dong,ROWS($1:6)),))</f>
        <v>C61</v>
      </c>
      <c r="C16" s="9">
        <f ca="1">IF(ROWS($1:6)&gt;COUNT(Dong),"",OFFSET(TH!E$1,SMALL(Dong,ROWS($1:6)),))</f>
        <v>42685</v>
      </c>
      <c r="D16" s="163" t="str">
        <f ca="1">IF(ROWS($1:6)&gt;COUNT(Dong),"",OFFSET(TH!F$1,SMALL(Dong,ROWS($1:6)),))</f>
        <v>Trả tiền cá</v>
      </c>
      <c r="E16" s="223">
        <f ca="1">IF(ROWS($1:6)&gt;COUNT(Dong),"",OFFSET(TH!I$1,SMALL(Dong,ROWS($1:6)),))</f>
        <v>0</v>
      </c>
      <c r="F16" s="223">
        <f ca="1">IF(ROWS($1:6)&gt;COUNT(Dong),"",OFFSET(TH!J$1,SMALL(Dong,ROWS($1:6)),))</f>
        <v>0</v>
      </c>
      <c r="G16" s="51">
        <f ca="1">IF(ROWS($1:6)&gt;COUNT(Dong),"",IF(OFFSET(TH!O$1,SMALL(Dong,ROWS($1:6)),)="331",OFFSET(TH!M$1,SMALL(Dong,ROWS($1:6)),),0))</f>
        <v>0</v>
      </c>
      <c r="H16" s="51">
        <f ca="1">IF(ROWS($1:6)&gt;COUNT(Dong),"",IF(OFFSET(TH!N$1,SMALL(Dong,ROWS($1:6)),)="331",OFFSET(TH!M$1,SMALL(Dong,ROWS($1:6)),),0))</f>
        <v>150000000</v>
      </c>
      <c r="I16" s="23">
        <f t="shared" ca="1" si="1"/>
        <v>186998000</v>
      </c>
    </row>
    <row r="17" spans="1:9" s="18" customFormat="1" ht="18" customHeight="1">
      <c r="A17" s="9">
        <f ca="1">IF(ROWS($1:7)&gt;COUNT(Dong),"",OFFSET(TH!C$1,SMALL(Dong,ROWS($1:7)),))</f>
        <v>42691</v>
      </c>
      <c r="B17" s="51" t="str">
        <f ca="1">IF(ROWS($1:7)&gt;COUNT(Dong),"",OFFSET(TH!D$1,SMALL(Dong,ROWS($1:7)),))</f>
        <v>C106</v>
      </c>
      <c r="C17" s="9">
        <f ca="1">IF(ROWS($1:7)&gt;COUNT(Dong),"",OFFSET(TH!E$1,SMALL(Dong,ROWS($1:7)),))</f>
        <v>42691</v>
      </c>
      <c r="D17" s="163" t="str">
        <f ca="1">IF(ROWS($1:7)&gt;COUNT(Dong),"",OFFSET(TH!F$1,SMALL(Dong,ROWS($1:7)),))</f>
        <v>Trả tiền cá</v>
      </c>
      <c r="E17" s="223">
        <f ca="1">IF(ROWS($1:7)&gt;COUNT(Dong),"",OFFSET(TH!I$1,SMALL(Dong,ROWS($1:7)),))</f>
        <v>0</v>
      </c>
      <c r="F17" s="223">
        <f ca="1">IF(ROWS($1:7)&gt;COUNT(Dong),"",OFFSET(TH!J$1,SMALL(Dong,ROWS($1:7)),))</f>
        <v>0</v>
      </c>
      <c r="G17" s="51">
        <f ca="1">IF(ROWS($1:7)&gt;COUNT(Dong),"",IF(OFFSET(TH!O$1,SMALL(Dong,ROWS($1:7)),)="331",OFFSET(TH!M$1,SMALL(Dong,ROWS($1:7)),),0))</f>
        <v>0</v>
      </c>
      <c r="H17" s="51">
        <f ca="1">IF(ROWS($1:7)&gt;COUNT(Dong),"",IF(OFFSET(TH!N$1,SMALL(Dong,ROWS($1:7)),)="331",OFFSET(TH!M$1,SMALL(Dong,ROWS($1:7)),),0))</f>
        <v>100000000</v>
      </c>
      <c r="I17" s="23">
        <f t="shared" ca="1" si="1"/>
        <v>86998000</v>
      </c>
    </row>
    <row r="18" spans="1:9" s="18" customFormat="1" ht="18" customHeight="1">
      <c r="A18" s="9">
        <f ca="1">IF(ROWS($1:8)&gt;COUNT(Dong),"",OFFSET(TH!C$1,SMALL(Dong,ROWS($1:8)),))</f>
        <v>42682</v>
      </c>
      <c r="B18" s="51">
        <f ca="1">IF(ROWS($1:8)&gt;COUNT(Dong),"",OFFSET(TH!D$1,SMALL(Dong,ROWS($1:8)),))</f>
        <v>0</v>
      </c>
      <c r="C18" s="9">
        <f ca="1">IF(ROWS($1:8)&gt;COUNT(Dong),"",OFFSET(TH!E$1,SMALL(Dong,ROWS($1:8)),))</f>
        <v>42682</v>
      </c>
      <c r="D18" s="163" t="str">
        <f ca="1">IF(ROWS($1:8)&gt;COUNT(Dong),"",OFFSET(TH!F$1,SMALL(Dong,ROWS($1:8)),))</f>
        <v>Bò NL VN</v>
      </c>
      <c r="E18" s="223">
        <f ca="1">IF(ROWS($1:8)&gt;COUNT(Dong),"",OFFSET(TH!I$1,SMALL(Dong,ROWS($1:8)),))</f>
        <v>12916</v>
      </c>
      <c r="F18" s="223">
        <f ca="1">IF(ROWS($1:8)&gt;COUNT(Dong),"",OFFSET(TH!J$1,SMALL(Dong,ROWS($1:8)),))</f>
        <v>10000</v>
      </c>
      <c r="G18" s="51">
        <f ca="1">IF(ROWS($1:8)&gt;COUNT(Dong),"",IF(OFFSET(TH!O$1,SMALL(Dong,ROWS($1:8)),)="331",OFFSET(TH!M$1,SMALL(Dong,ROWS($1:8)),),0))</f>
        <v>129160000</v>
      </c>
      <c r="H18" s="51">
        <f ca="1">IF(ROWS($1:8)&gt;COUNT(Dong),"",IF(OFFSET(TH!N$1,SMALL(Dong,ROWS($1:8)),)="331",OFFSET(TH!M$1,SMALL(Dong,ROWS($1:8)),),0))</f>
        <v>0</v>
      </c>
      <c r="I18" s="23">
        <f t="shared" ca="1" si="1"/>
        <v>216158000</v>
      </c>
    </row>
    <row r="19" spans="1:9" s="18" customFormat="1" ht="18" customHeight="1">
      <c r="A19" s="9" t="str">
        <f ca="1">IF(ROWS($1:9)&gt;COUNT(Dong),"",OFFSET(TH!C$1,SMALL(Dong,ROWS($1:9)),))</f>
        <v/>
      </c>
      <c r="B19" s="51" t="str">
        <f ca="1">IF(ROWS($1:9)&gt;COUNT(Dong),"",OFFSET(TH!D$1,SMALL(Dong,ROWS($1:9)),))</f>
        <v/>
      </c>
      <c r="C19" s="9" t="str">
        <f ca="1">IF(ROWS($1:9)&gt;COUNT(Dong),"",OFFSET(TH!E$1,SMALL(Dong,ROWS($1:9)),))</f>
        <v/>
      </c>
      <c r="D19" s="163" t="str">
        <f ca="1">IF(ROWS($1:9)&gt;COUNT(Dong),"",OFFSET(TH!F$1,SMALL(Dong,ROWS($1:9)),))</f>
        <v/>
      </c>
      <c r="E19" s="223" t="str">
        <f ca="1">IF(ROWS($1:9)&gt;COUNT(Dong),"",OFFSET(TH!I$1,SMALL(Dong,ROWS($1:9)),))</f>
        <v/>
      </c>
      <c r="F19" s="223" t="str">
        <f ca="1">IF(ROWS($1:9)&gt;COUNT(Dong),"",OFFSET(TH!J$1,SMALL(Dong,ROWS($1:9)),))</f>
        <v/>
      </c>
      <c r="G19" s="51" t="str">
        <f ca="1">IF(ROWS($1:9)&gt;COUNT(Dong),"",IF(OFFSET(TH!O$1,SMALL(Dong,ROWS($1:9)),)="331",OFFSET(TH!M$1,SMALL(Dong,ROWS($1:9)),),0))</f>
        <v/>
      </c>
      <c r="H19" s="51" t="str">
        <f ca="1">IF(ROWS($1:9)&gt;COUNT(Dong),"",IF(OFFSET(TH!N$1,SMALL(Dong,ROWS($1:9)),)="331",OFFSET(TH!M$1,SMALL(Dong,ROWS($1:9)),),0))</f>
        <v/>
      </c>
      <c r="I19" s="23">
        <f t="shared" ca="1" si="1"/>
        <v>0</v>
      </c>
    </row>
    <row r="20" spans="1:9" s="18" customFormat="1" ht="18" customHeight="1">
      <c r="A20" s="9" t="str">
        <f ca="1">IF(ROWS($1:10)&gt;COUNT(Dong),"",OFFSET(TH!C$1,SMALL(Dong,ROWS($1:10)),))</f>
        <v/>
      </c>
      <c r="B20" s="51" t="str">
        <f ca="1">IF(ROWS($1:10)&gt;COUNT(Dong),"",OFFSET(TH!D$1,SMALL(Dong,ROWS($1:10)),))</f>
        <v/>
      </c>
      <c r="C20" s="9" t="str">
        <f ca="1">IF(ROWS($1:10)&gt;COUNT(Dong),"",OFFSET(TH!E$1,SMALL(Dong,ROWS($1:10)),))</f>
        <v/>
      </c>
      <c r="D20" s="163" t="str">
        <f ca="1">IF(ROWS($1:10)&gt;COUNT(Dong),"",OFFSET(TH!F$1,SMALL(Dong,ROWS($1:10)),))</f>
        <v/>
      </c>
      <c r="E20" s="223" t="str">
        <f ca="1">IF(ROWS($1:10)&gt;COUNT(Dong),"",OFFSET(TH!I$1,SMALL(Dong,ROWS($1:10)),))</f>
        <v/>
      </c>
      <c r="F20" s="223" t="str">
        <f ca="1">IF(ROWS($1:10)&gt;COUNT(Dong),"",OFFSET(TH!J$1,SMALL(Dong,ROWS($1:10)),))</f>
        <v/>
      </c>
      <c r="G20" s="51" t="str">
        <f ca="1">IF(ROWS($1:10)&gt;COUNT(Dong),"",IF(OFFSET(TH!O$1,SMALL(Dong,ROWS($1:10)),)="331",OFFSET(TH!M$1,SMALL(Dong,ROWS($1:10)),),0))</f>
        <v/>
      </c>
      <c r="H20" s="51" t="str">
        <f ca="1">IF(ROWS($1:10)&gt;COUNT(Dong),"",IF(OFFSET(TH!N$1,SMALL(Dong,ROWS($1:10)),)="331",OFFSET(TH!M$1,SMALL(Dong,ROWS($1:10)),),0))</f>
        <v/>
      </c>
      <c r="I20" s="23">
        <f t="shared" ca="1" si="1"/>
        <v>0</v>
      </c>
    </row>
    <row r="21" spans="1:9" s="18" customFormat="1" ht="18" customHeight="1">
      <c r="A21" s="9" t="str">
        <f ca="1">IF(ROWS($1:11)&gt;COUNT(Dong),"",OFFSET(TH!C$1,SMALL(Dong,ROWS($1:11)),))</f>
        <v/>
      </c>
      <c r="B21" s="51" t="str">
        <f ca="1">IF(ROWS($1:11)&gt;COUNT(Dong),"",OFFSET(TH!D$1,SMALL(Dong,ROWS($1:11)),))</f>
        <v/>
      </c>
      <c r="C21" s="9" t="str">
        <f ca="1">IF(ROWS($1:11)&gt;COUNT(Dong),"",OFFSET(TH!E$1,SMALL(Dong,ROWS($1:11)),))</f>
        <v/>
      </c>
      <c r="D21" s="163" t="str">
        <f ca="1">IF(ROWS($1:11)&gt;COUNT(Dong),"",OFFSET(TH!F$1,SMALL(Dong,ROWS($1:11)),))</f>
        <v/>
      </c>
      <c r="E21" s="223" t="str">
        <f ca="1">IF(ROWS($1:11)&gt;COUNT(Dong),"",OFFSET(TH!I$1,SMALL(Dong,ROWS($1:11)),))</f>
        <v/>
      </c>
      <c r="F21" s="223" t="str">
        <f ca="1">IF(ROWS($1:11)&gt;COUNT(Dong),"",OFFSET(TH!J$1,SMALL(Dong,ROWS($1:11)),))</f>
        <v/>
      </c>
      <c r="G21" s="51" t="str">
        <f ca="1">IF(ROWS($1:11)&gt;COUNT(Dong),"",IF(OFFSET(TH!O$1,SMALL(Dong,ROWS($1:11)),)="331",OFFSET(TH!M$1,SMALL(Dong,ROWS($1:11)),),0))</f>
        <v/>
      </c>
      <c r="H21" s="51" t="str">
        <f ca="1">IF(ROWS($1:11)&gt;COUNT(Dong),"",IF(OFFSET(TH!N$1,SMALL(Dong,ROWS($1:11)),)="331",OFFSET(TH!M$1,SMALL(Dong,ROWS($1:11)),),0))</f>
        <v/>
      </c>
      <c r="I21" s="23">
        <f t="shared" ca="1" si="1"/>
        <v>0</v>
      </c>
    </row>
    <row r="22" spans="1:9" s="18" customFormat="1" ht="18" customHeight="1">
      <c r="A22" s="9" t="str">
        <f ca="1">IF(ROWS($1:12)&gt;COUNT(Dong),"",OFFSET(TH!C$1,SMALL(Dong,ROWS($1:12)),))</f>
        <v/>
      </c>
      <c r="B22" s="51" t="str">
        <f ca="1">IF(ROWS($1:12)&gt;COUNT(Dong),"",OFFSET(TH!D$1,SMALL(Dong,ROWS($1:12)),))</f>
        <v/>
      </c>
      <c r="C22" s="9" t="str">
        <f ca="1">IF(ROWS($1:12)&gt;COUNT(Dong),"",OFFSET(TH!E$1,SMALL(Dong,ROWS($1:12)),))</f>
        <v/>
      </c>
      <c r="D22" s="163" t="str">
        <f ca="1">IF(ROWS($1:12)&gt;COUNT(Dong),"",OFFSET(TH!F$1,SMALL(Dong,ROWS($1:12)),))</f>
        <v/>
      </c>
      <c r="E22" s="223" t="str">
        <f ca="1">IF(ROWS($1:12)&gt;COUNT(Dong),"",OFFSET(TH!I$1,SMALL(Dong,ROWS($1:12)),))</f>
        <v/>
      </c>
      <c r="F22" s="223" t="str">
        <f ca="1">IF(ROWS($1:12)&gt;COUNT(Dong),"",OFFSET(TH!J$1,SMALL(Dong,ROWS($1:12)),))</f>
        <v/>
      </c>
      <c r="G22" s="51" t="str">
        <f ca="1">IF(ROWS($1:12)&gt;COUNT(Dong),"",IF(OFFSET(TH!O$1,SMALL(Dong,ROWS($1:12)),)="331",OFFSET(TH!M$1,SMALL(Dong,ROWS($1:12)),),0))</f>
        <v/>
      </c>
      <c r="H22" s="51" t="str">
        <f ca="1">IF(ROWS($1:12)&gt;COUNT(Dong),"",IF(OFFSET(TH!N$1,SMALL(Dong,ROWS($1:12)),)="331",OFFSET(TH!M$1,SMALL(Dong,ROWS($1:12)),),0))</f>
        <v/>
      </c>
      <c r="I22" s="23">
        <f t="shared" ca="1" si="1"/>
        <v>0</v>
      </c>
    </row>
    <row r="23" spans="1:9" s="18" customFormat="1" ht="18" customHeight="1">
      <c r="A23" s="9" t="str">
        <f ca="1">IF(ROWS($1:13)&gt;COUNT(Dong),"",OFFSET(TH!C$1,SMALL(Dong,ROWS($1:13)),))</f>
        <v/>
      </c>
      <c r="B23" s="51" t="str">
        <f ca="1">IF(ROWS($1:13)&gt;COUNT(Dong),"",OFFSET(TH!D$1,SMALL(Dong,ROWS($1:13)),))</f>
        <v/>
      </c>
      <c r="C23" s="9" t="str">
        <f ca="1">IF(ROWS($1:13)&gt;COUNT(Dong),"",OFFSET(TH!E$1,SMALL(Dong,ROWS($1:13)),))</f>
        <v/>
      </c>
      <c r="D23" s="163" t="str">
        <f ca="1">IF(ROWS($1:13)&gt;COUNT(Dong),"",OFFSET(TH!F$1,SMALL(Dong,ROWS($1:13)),))</f>
        <v/>
      </c>
      <c r="E23" s="223" t="str">
        <f ca="1">IF(ROWS($1:13)&gt;COUNT(Dong),"",OFFSET(TH!I$1,SMALL(Dong,ROWS($1:13)),))</f>
        <v/>
      </c>
      <c r="F23" s="223" t="str">
        <f ca="1">IF(ROWS($1:13)&gt;COUNT(Dong),"",OFFSET(TH!J$1,SMALL(Dong,ROWS($1:13)),))</f>
        <v/>
      </c>
      <c r="G23" s="51" t="str">
        <f ca="1">IF(ROWS($1:13)&gt;COUNT(Dong),"",IF(OFFSET(TH!O$1,SMALL(Dong,ROWS($1:13)),)="331",OFFSET(TH!M$1,SMALL(Dong,ROWS($1:13)),),0))</f>
        <v/>
      </c>
      <c r="H23" s="51" t="str">
        <f ca="1">IF(ROWS($1:13)&gt;COUNT(Dong),"",IF(OFFSET(TH!N$1,SMALL(Dong,ROWS($1:13)),)="331",OFFSET(TH!M$1,SMALL(Dong,ROWS($1:13)),),0))</f>
        <v/>
      </c>
      <c r="I23" s="23">
        <f t="shared" ca="1" si="1"/>
        <v>0</v>
      </c>
    </row>
    <row r="24" spans="1:9" s="18" customFormat="1" ht="18" customHeight="1">
      <c r="A24" s="9" t="str">
        <f ca="1">IF(ROWS($1:14)&gt;COUNT(Dong),"",OFFSET(TH!C$1,SMALL(Dong,ROWS($1:14)),))</f>
        <v/>
      </c>
      <c r="B24" s="51" t="str">
        <f ca="1">IF(ROWS($1:14)&gt;COUNT(Dong),"",OFFSET(TH!D$1,SMALL(Dong,ROWS($1:14)),))</f>
        <v/>
      </c>
      <c r="C24" s="9" t="str">
        <f ca="1">IF(ROWS($1:14)&gt;COUNT(Dong),"",OFFSET(TH!E$1,SMALL(Dong,ROWS($1:14)),))</f>
        <v/>
      </c>
      <c r="D24" s="163" t="str">
        <f ca="1">IF(ROWS($1:14)&gt;COUNT(Dong),"",OFFSET(TH!F$1,SMALL(Dong,ROWS($1:14)),))</f>
        <v/>
      </c>
      <c r="E24" s="223" t="str">
        <f ca="1">IF(ROWS($1:14)&gt;COUNT(Dong),"",OFFSET(TH!I$1,SMALL(Dong,ROWS($1:14)),))</f>
        <v/>
      </c>
      <c r="F24" s="223" t="str">
        <f ca="1">IF(ROWS($1:14)&gt;COUNT(Dong),"",OFFSET(TH!J$1,SMALL(Dong,ROWS($1:14)),))</f>
        <v/>
      </c>
      <c r="G24" s="51" t="str">
        <f ca="1">IF(ROWS($1:14)&gt;COUNT(Dong),"",IF(OFFSET(TH!O$1,SMALL(Dong,ROWS($1:14)),)="331",OFFSET(TH!M$1,SMALL(Dong,ROWS($1:14)),),0))</f>
        <v/>
      </c>
      <c r="H24" s="51" t="str">
        <f ca="1">IF(ROWS($1:14)&gt;COUNT(Dong),"",IF(OFFSET(TH!N$1,SMALL(Dong,ROWS($1:14)),)="331",OFFSET(TH!M$1,SMALL(Dong,ROWS($1:14)),),0))</f>
        <v/>
      </c>
      <c r="I24" s="23">
        <f t="shared" ca="1" si="1"/>
        <v>0</v>
      </c>
    </row>
    <row r="25" spans="1:9" s="18" customFormat="1" ht="18" customHeight="1">
      <c r="A25" s="9" t="str">
        <f ca="1">IF(ROWS($1:15)&gt;COUNT(Dong),"",OFFSET(TH!C$1,SMALL(Dong,ROWS($1:15)),))</f>
        <v/>
      </c>
      <c r="B25" s="51" t="str">
        <f ca="1">IF(ROWS($1:15)&gt;COUNT(Dong),"",OFFSET(TH!D$1,SMALL(Dong,ROWS($1:15)),))</f>
        <v/>
      </c>
      <c r="C25" s="9" t="str">
        <f ca="1">IF(ROWS($1:15)&gt;COUNT(Dong),"",OFFSET(TH!E$1,SMALL(Dong,ROWS($1:15)),))</f>
        <v/>
      </c>
      <c r="D25" s="163" t="str">
        <f ca="1">IF(ROWS($1:15)&gt;COUNT(Dong),"",OFFSET(TH!F$1,SMALL(Dong,ROWS($1:15)),))</f>
        <v/>
      </c>
      <c r="E25" s="223" t="str">
        <f ca="1">IF(ROWS($1:15)&gt;COUNT(Dong),"",OFFSET(TH!I$1,SMALL(Dong,ROWS($1:15)),))</f>
        <v/>
      </c>
      <c r="F25" s="223" t="str">
        <f ca="1">IF(ROWS($1:15)&gt;COUNT(Dong),"",OFFSET(TH!J$1,SMALL(Dong,ROWS($1:15)),))</f>
        <v/>
      </c>
      <c r="G25" s="51" t="str">
        <f ca="1">IF(ROWS($1:15)&gt;COUNT(Dong),"",IF(OFFSET(TH!O$1,SMALL(Dong,ROWS($1:15)),)="331",OFFSET(TH!M$1,SMALL(Dong,ROWS($1:15)),),0))</f>
        <v/>
      </c>
      <c r="H25" s="51" t="str">
        <f ca="1">IF(ROWS($1:15)&gt;COUNT(Dong),"",IF(OFFSET(TH!N$1,SMALL(Dong,ROWS($1:15)),)="331",OFFSET(TH!M$1,SMALL(Dong,ROWS($1:15)),),0))</f>
        <v/>
      </c>
      <c r="I25" s="23">
        <f t="shared" ca="1" si="1"/>
        <v>0</v>
      </c>
    </row>
    <row r="26" spans="1:9" s="18" customFormat="1" ht="18" customHeight="1">
      <c r="A26" s="9" t="str">
        <f ca="1">IF(ROWS($1:16)&gt;COUNT(Dong),"",OFFSET(TH!C$1,SMALL(Dong,ROWS($1:16)),))</f>
        <v/>
      </c>
      <c r="B26" s="51" t="str">
        <f ca="1">IF(ROWS($1:16)&gt;COUNT(Dong),"",OFFSET(TH!D$1,SMALL(Dong,ROWS($1:16)),))</f>
        <v/>
      </c>
      <c r="C26" s="9" t="str">
        <f ca="1">IF(ROWS($1:16)&gt;COUNT(Dong),"",OFFSET(TH!E$1,SMALL(Dong,ROWS($1:16)),))</f>
        <v/>
      </c>
      <c r="D26" s="163" t="str">
        <f ca="1">IF(ROWS($1:16)&gt;COUNT(Dong),"",OFFSET(TH!F$1,SMALL(Dong,ROWS($1:16)),))</f>
        <v/>
      </c>
      <c r="E26" s="223" t="str">
        <f ca="1">IF(ROWS($1:16)&gt;COUNT(Dong),"",OFFSET(TH!I$1,SMALL(Dong,ROWS($1:16)),))</f>
        <v/>
      </c>
      <c r="F26" s="223" t="str">
        <f ca="1">IF(ROWS($1:16)&gt;COUNT(Dong),"",OFFSET(TH!J$1,SMALL(Dong,ROWS($1:16)),))</f>
        <v/>
      </c>
      <c r="G26" s="51" t="str">
        <f ca="1">IF(ROWS($1:16)&gt;COUNT(Dong),"",IF(OFFSET(TH!O$1,SMALL(Dong,ROWS($1:16)),)="331",OFFSET(TH!M$1,SMALL(Dong,ROWS($1:16)),),0))</f>
        <v/>
      </c>
      <c r="H26" s="51" t="str">
        <f ca="1">IF(ROWS($1:16)&gt;COUNT(Dong),"",IF(OFFSET(TH!N$1,SMALL(Dong,ROWS($1:16)),)="331",OFFSET(TH!M$1,SMALL(Dong,ROWS($1:16)),),0))</f>
        <v/>
      </c>
      <c r="I26" s="23">
        <f t="shared" ca="1" si="1"/>
        <v>0</v>
      </c>
    </row>
    <row r="27" spans="1:9" s="18" customFormat="1" ht="18" customHeight="1">
      <c r="A27" s="9" t="str">
        <f ca="1">IF(ROWS($1:17)&gt;COUNT(Dong),"",OFFSET(TH!C$1,SMALL(Dong,ROWS($1:17)),))</f>
        <v/>
      </c>
      <c r="B27" s="51" t="str">
        <f ca="1">IF(ROWS($1:17)&gt;COUNT(Dong),"",OFFSET(TH!D$1,SMALL(Dong,ROWS($1:17)),))</f>
        <v/>
      </c>
      <c r="C27" s="9" t="str">
        <f ca="1">IF(ROWS($1:17)&gt;COUNT(Dong),"",OFFSET(TH!E$1,SMALL(Dong,ROWS($1:17)),))</f>
        <v/>
      </c>
      <c r="D27" s="163" t="str">
        <f ca="1">IF(ROWS($1:17)&gt;COUNT(Dong),"",OFFSET(TH!F$1,SMALL(Dong,ROWS($1:17)),))</f>
        <v/>
      </c>
      <c r="E27" s="223" t="str">
        <f ca="1">IF(ROWS($1:17)&gt;COUNT(Dong),"",OFFSET(TH!I$1,SMALL(Dong,ROWS($1:17)),))</f>
        <v/>
      </c>
      <c r="F27" s="223" t="str">
        <f ca="1">IF(ROWS($1:17)&gt;COUNT(Dong),"",OFFSET(TH!J$1,SMALL(Dong,ROWS($1:17)),))</f>
        <v/>
      </c>
      <c r="G27" s="51" t="str">
        <f ca="1">IF(ROWS($1:17)&gt;COUNT(Dong),"",IF(OFFSET(TH!O$1,SMALL(Dong,ROWS($1:17)),)="331",OFFSET(TH!M$1,SMALL(Dong,ROWS($1:17)),),0))</f>
        <v/>
      </c>
      <c r="H27" s="51" t="str">
        <f ca="1">IF(ROWS($1:17)&gt;COUNT(Dong),"",IF(OFFSET(TH!N$1,SMALL(Dong,ROWS($1:17)),)="331",OFFSET(TH!M$1,SMALL(Dong,ROWS($1:17)),),0))</f>
        <v/>
      </c>
      <c r="I27" s="23">
        <f t="shared" ca="1" si="1"/>
        <v>0</v>
      </c>
    </row>
    <row r="28" spans="1:9" s="18" customFormat="1" ht="18" customHeight="1">
      <c r="A28" s="9" t="str">
        <f ca="1">IF(ROWS($1:18)&gt;COUNT(Dong),"",OFFSET(TH!C$1,SMALL(Dong,ROWS($1:18)),))</f>
        <v/>
      </c>
      <c r="B28" s="51" t="str">
        <f ca="1">IF(ROWS($1:18)&gt;COUNT(Dong),"",OFFSET(TH!D$1,SMALL(Dong,ROWS($1:18)),))</f>
        <v/>
      </c>
      <c r="C28" s="9" t="str">
        <f ca="1">IF(ROWS($1:18)&gt;COUNT(Dong),"",OFFSET(TH!E$1,SMALL(Dong,ROWS($1:18)),))</f>
        <v/>
      </c>
      <c r="D28" s="163" t="str">
        <f ca="1">IF(ROWS($1:18)&gt;COUNT(Dong),"",OFFSET(TH!F$1,SMALL(Dong,ROWS($1:18)),))</f>
        <v/>
      </c>
      <c r="E28" s="223" t="str">
        <f ca="1">IF(ROWS($1:18)&gt;COUNT(Dong),"",OFFSET(TH!I$1,SMALL(Dong,ROWS($1:18)),))</f>
        <v/>
      </c>
      <c r="F28" s="223" t="str">
        <f ca="1">IF(ROWS($1:18)&gt;COUNT(Dong),"",OFFSET(TH!J$1,SMALL(Dong,ROWS($1:18)),))</f>
        <v/>
      </c>
      <c r="G28" s="51" t="str">
        <f ca="1">IF(ROWS($1:18)&gt;COUNT(Dong),"",IF(OFFSET(TH!O$1,SMALL(Dong,ROWS($1:18)),)="331",OFFSET(TH!M$1,SMALL(Dong,ROWS($1:18)),),0))</f>
        <v/>
      </c>
      <c r="H28" s="51" t="str">
        <f ca="1">IF(ROWS($1:18)&gt;COUNT(Dong),"",IF(OFFSET(TH!N$1,SMALL(Dong,ROWS($1:18)),)="331",OFFSET(TH!M$1,SMALL(Dong,ROWS($1:18)),),0))</f>
        <v/>
      </c>
      <c r="I28" s="23">
        <f t="shared" ca="1" si="1"/>
        <v>0</v>
      </c>
    </row>
    <row r="29" spans="1:9" s="18" customFormat="1" ht="18" customHeight="1">
      <c r="A29" s="9" t="str">
        <f ca="1">IF(ROWS($1:19)&gt;COUNT(Dong),"",OFFSET(TH!C$1,SMALL(Dong,ROWS($1:19)),))</f>
        <v/>
      </c>
      <c r="B29" s="51" t="str">
        <f ca="1">IF(ROWS($1:19)&gt;COUNT(Dong),"",OFFSET(TH!D$1,SMALL(Dong,ROWS($1:19)),))</f>
        <v/>
      </c>
      <c r="C29" s="9" t="str">
        <f ca="1">IF(ROWS($1:19)&gt;COUNT(Dong),"",OFFSET(TH!E$1,SMALL(Dong,ROWS($1:19)),))</f>
        <v/>
      </c>
      <c r="D29" s="163" t="str">
        <f ca="1">IF(ROWS($1:19)&gt;COUNT(Dong),"",OFFSET(TH!F$1,SMALL(Dong,ROWS($1:19)),))</f>
        <v/>
      </c>
      <c r="E29" s="223" t="str">
        <f ca="1">IF(ROWS($1:19)&gt;COUNT(Dong),"",OFFSET(TH!I$1,SMALL(Dong,ROWS($1:19)),))</f>
        <v/>
      </c>
      <c r="F29" s="223" t="str">
        <f ca="1">IF(ROWS($1:19)&gt;COUNT(Dong),"",OFFSET(TH!J$1,SMALL(Dong,ROWS($1:19)),))</f>
        <v/>
      </c>
      <c r="G29" s="51" t="str">
        <f ca="1">IF(ROWS($1:19)&gt;COUNT(Dong),"",IF(OFFSET(TH!O$1,SMALL(Dong,ROWS($1:19)),)="331",OFFSET(TH!M$1,SMALL(Dong,ROWS($1:19)),),0))</f>
        <v/>
      </c>
      <c r="H29" s="51" t="str">
        <f ca="1">IF(ROWS($1:19)&gt;COUNT(Dong),"",IF(OFFSET(TH!N$1,SMALL(Dong,ROWS($1:19)),)="331",OFFSET(TH!M$1,SMALL(Dong,ROWS($1:19)),),0))</f>
        <v/>
      </c>
      <c r="I29" s="23">
        <f t="shared" ca="1" si="0"/>
        <v>0</v>
      </c>
    </row>
    <row r="30" spans="1:9" s="18" customFormat="1" ht="18" customHeight="1">
      <c r="A30" s="9" t="str">
        <f ca="1">IF(ROWS($1:20)&gt;COUNT(Dong),"",OFFSET(TH!C$1,SMALL(Dong,ROWS($1:20)),))</f>
        <v/>
      </c>
      <c r="B30" s="51" t="str">
        <f ca="1">IF(ROWS($1:20)&gt;COUNT(Dong),"",OFFSET(TH!D$1,SMALL(Dong,ROWS($1:20)),))</f>
        <v/>
      </c>
      <c r="C30" s="9" t="str">
        <f ca="1">IF(ROWS($1:20)&gt;COUNT(Dong),"",OFFSET(TH!E$1,SMALL(Dong,ROWS($1:20)),))</f>
        <v/>
      </c>
      <c r="D30" s="163" t="str">
        <f ca="1">IF(ROWS($1:20)&gt;COUNT(Dong),"",OFFSET(TH!F$1,SMALL(Dong,ROWS($1:20)),))</f>
        <v/>
      </c>
      <c r="E30" s="223" t="str">
        <f ca="1">IF(ROWS($1:20)&gt;COUNT(Dong),"",OFFSET(TH!I$1,SMALL(Dong,ROWS($1:20)),))</f>
        <v/>
      </c>
      <c r="F30" s="223" t="str">
        <f ca="1">IF(ROWS($1:20)&gt;COUNT(Dong),"",OFFSET(TH!J$1,SMALL(Dong,ROWS($1:20)),))</f>
        <v/>
      </c>
      <c r="G30" s="51" t="str">
        <f ca="1">IF(ROWS($1:20)&gt;COUNT(Dong),"",IF(OFFSET(TH!O$1,SMALL(Dong,ROWS($1:20)),)="331",OFFSET(TH!M$1,SMALL(Dong,ROWS($1:20)),),0))</f>
        <v/>
      </c>
      <c r="H30" s="51" t="str">
        <f ca="1">IF(ROWS($1:20)&gt;COUNT(Dong),"",IF(OFFSET(TH!N$1,SMALL(Dong,ROWS($1:20)),)="331",OFFSET(TH!M$1,SMALL(Dong,ROWS($1:20)),),0))</f>
        <v/>
      </c>
      <c r="I30" s="23">
        <f t="shared" ca="1" si="0"/>
        <v>0</v>
      </c>
    </row>
    <row r="31" spans="1:9" s="18" customFormat="1" ht="18" customHeight="1">
      <c r="A31" s="9" t="str">
        <f ca="1">IF(ROWS($1:21)&gt;COUNT(Dong),"",OFFSET(TH!C$1,SMALL(Dong,ROWS($1:21)),))</f>
        <v/>
      </c>
      <c r="B31" s="51" t="str">
        <f ca="1">IF(ROWS($1:21)&gt;COUNT(Dong),"",OFFSET(TH!D$1,SMALL(Dong,ROWS($1:21)),))</f>
        <v/>
      </c>
      <c r="C31" s="9" t="str">
        <f ca="1">IF(ROWS($1:21)&gt;COUNT(Dong),"",OFFSET(TH!E$1,SMALL(Dong,ROWS($1:21)),))</f>
        <v/>
      </c>
      <c r="D31" s="163" t="str">
        <f ca="1">IF(ROWS($1:21)&gt;COUNT(Dong),"",OFFSET(TH!F$1,SMALL(Dong,ROWS($1:21)),))</f>
        <v/>
      </c>
      <c r="E31" s="223" t="str">
        <f ca="1">IF(ROWS($1:21)&gt;COUNT(Dong),"",OFFSET(TH!I$1,SMALL(Dong,ROWS($1:21)),))</f>
        <v/>
      </c>
      <c r="F31" s="223" t="str">
        <f ca="1">IF(ROWS($1:21)&gt;COUNT(Dong),"",OFFSET(TH!J$1,SMALL(Dong,ROWS($1:21)),))</f>
        <v/>
      </c>
      <c r="G31" s="51" t="str">
        <f ca="1">IF(ROWS($1:21)&gt;COUNT(Dong),"",IF(OFFSET(TH!O$1,SMALL(Dong,ROWS($1:21)),)="331",OFFSET(TH!M$1,SMALL(Dong,ROWS($1:21)),),0))</f>
        <v/>
      </c>
      <c r="H31" s="51" t="str">
        <f ca="1">IF(ROWS($1:21)&gt;COUNT(Dong),"",IF(OFFSET(TH!N$1,SMALL(Dong,ROWS($1:21)),)="331",OFFSET(TH!M$1,SMALL(Dong,ROWS($1:21)),),0))</f>
        <v/>
      </c>
      <c r="I31" s="23">
        <f t="shared" ca="1" si="0"/>
        <v>0</v>
      </c>
    </row>
    <row r="32" spans="1:9" s="18" customFormat="1" ht="18" customHeight="1">
      <c r="A32" s="9" t="str">
        <f ca="1">IF(ROWS($1:22)&gt;COUNT(Dong),"",OFFSET(TH!C$1,SMALL(Dong,ROWS($1:22)),))</f>
        <v/>
      </c>
      <c r="B32" s="51" t="str">
        <f ca="1">IF(ROWS($1:22)&gt;COUNT(Dong),"",OFFSET(TH!D$1,SMALL(Dong,ROWS($1:22)),))</f>
        <v/>
      </c>
      <c r="C32" s="9" t="str">
        <f ca="1">IF(ROWS($1:22)&gt;COUNT(Dong),"",OFFSET(TH!E$1,SMALL(Dong,ROWS($1:22)),))</f>
        <v/>
      </c>
      <c r="D32" s="163" t="str">
        <f ca="1">IF(ROWS($1:22)&gt;COUNT(Dong),"",OFFSET(TH!F$1,SMALL(Dong,ROWS($1:22)),))</f>
        <v/>
      </c>
      <c r="E32" s="223" t="str">
        <f ca="1">IF(ROWS($1:22)&gt;COUNT(Dong),"",OFFSET(TH!I$1,SMALL(Dong,ROWS($1:22)),))</f>
        <v/>
      </c>
      <c r="F32" s="223" t="str">
        <f ca="1">IF(ROWS($1:22)&gt;COUNT(Dong),"",OFFSET(TH!J$1,SMALL(Dong,ROWS($1:22)),))</f>
        <v/>
      </c>
      <c r="G32" s="51" t="str">
        <f ca="1">IF(ROWS($1:22)&gt;COUNT(Dong),"",IF(OFFSET(TH!O$1,SMALL(Dong,ROWS($1:22)),)="331",OFFSET(TH!M$1,SMALL(Dong,ROWS($1:22)),),0))</f>
        <v/>
      </c>
      <c r="H32" s="51" t="str">
        <f ca="1">IF(ROWS($1:22)&gt;COUNT(Dong),"",IF(OFFSET(TH!N$1,SMALL(Dong,ROWS($1:22)),)="331",OFFSET(TH!M$1,SMALL(Dong,ROWS($1:22)),),0))</f>
        <v/>
      </c>
      <c r="I32" s="23">
        <f t="shared" ca="1" si="0"/>
        <v>0</v>
      </c>
    </row>
    <row r="33" spans="1:9" s="18" customFormat="1" ht="18" customHeight="1">
      <c r="A33" s="9" t="str">
        <f ca="1">IF(ROWS($1:23)&gt;COUNT(Dong),"",OFFSET(TH!C$1,SMALL(Dong,ROWS($1:23)),))</f>
        <v/>
      </c>
      <c r="B33" s="51" t="str">
        <f ca="1">IF(ROWS($1:23)&gt;COUNT(Dong),"",OFFSET(TH!D$1,SMALL(Dong,ROWS($1:23)),))</f>
        <v/>
      </c>
      <c r="C33" s="9" t="str">
        <f ca="1">IF(ROWS($1:23)&gt;COUNT(Dong),"",OFFSET(TH!E$1,SMALL(Dong,ROWS($1:23)),))</f>
        <v/>
      </c>
      <c r="D33" s="163" t="str">
        <f ca="1">IF(ROWS($1:23)&gt;COUNT(Dong),"",OFFSET(TH!F$1,SMALL(Dong,ROWS($1:23)),))</f>
        <v/>
      </c>
      <c r="E33" s="223" t="str">
        <f ca="1">IF(ROWS($1:23)&gt;COUNT(Dong),"",OFFSET(TH!I$1,SMALL(Dong,ROWS($1:23)),))</f>
        <v/>
      </c>
      <c r="F33" s="223" t="str">
        <f ca="1">IF(ROWS($1:23)&gt;COUNT(Dong),"",OFFSET(TH!J$1,SMALL(Dong,ROWS($1:23)),))</f>
        <v/>
      </c>
      <c r="G33" s="51" t="str">
        <f ca="1">IF(ROWS($1:23)&gt;COUNT(Dong),"",IF(OFFSET(TH!O$1,SMALL(Dong,ROWS($1:23)),)="331",OFFSET(TH!M$1,SMALL(Dong,ROWS($1:23)),),0))</f>
        <v/>
      </c>
      <c r="H33" s="51" t="str">
        <f ca="1">IF(ROWS($1:23)&gt;COUNT(Dong),"",IF(OFFSET(TH!N$1,SMALL(Dong,ROWS($1:23)),)="331",OFFSET(TH!M$1,SMALL(Dong,ROWS($1:23)),),0))</f>
        <v/>
      </c>
      <c r="I33" s="23">
        <f t="shared" ca="1" si="0"/>
        <v>0</v>
      </c>
    </row>
    <row r="34" spans="1:9" s="18" customFormat="1" ht="18" customHeight="1">
      <c r="A34" s="9" t="str">
        <f ca="1">IF(ROWS($1:24)&gt;COUNT(Dong),"",OFFSET(TH!C$1,SMALL(Dong,ROWS($1:24)),))</f>
        <v/>
      </c>
      <c r="B34" s="51" t="str">
        <f ca="1">IF(ROWS($1:24)&gt;COUNT(Dong),"",OFFSET(TH!D$1,SMALL(Dong,ROWS($1:24)),))</f>
        <v/>
      </c>
      <c r="C34" s="9" t="str">
        <f ca="1">IF(ROWS($1:24)&gt;COUNT(Dong),"",OFFSET(TH!E$1,SMALL(Dong,ROWS($1:24)),))</f>
        <v/>
      </c>
      <c r="D34" s="163" t="str">
        <f ca="1">IF(ROWS($1:24)&gt;COUNT(Dong),"",OFFSET(TH!F$1,SMALL(Dong,ROWS($1:24)),))</f>
        <v/>
      </c>
      <c r="E34" s="223" t="str">
        <f ca="1">IF(ROWS($1:24)&gt;COUNT(Dong),"",OFFSET(TH!I$1,SMALL(Dong,ROWS($1:24)),))</f>
        <v/>
      </c>
      <c r="F34" s="223" t="str">
        <f ca="1">IF(ROWS($1:24)&gt;COUNT(Dong),"",OFFSET(TH!J$1,SMALL(Dong,ROWS($1:24)),))</f>
        <v/>
      </c>
      <c r="G34" s="51" t="str">
        <f ca="1">IF(ROWS($1:24)&gt;COUNT(Dong),"",IF(OFFSET(TH!O$1,SMALL(Dong,ROWS($1:24)),)="331",OFFSET(TH!M$1,SMALL(Dong,ROWS($1:24)),),0))</f>
        <v/>
      </c>
      <c r="H34" s="51" t="str">
        <f ca="1">IF(ROWS($1:24)&gt;COUNT(Dong),"",IF(OFFSET(TH!N$1,SMALL(Dong,ROWS($1:24)),)="331",OFFSET(TH!M$1,SMALL(Dong,ROWS($1:24)),),0))</f>
        <v/>
      </c>
      <c r="I34" s="23">
        <f t="shared" ca="1" si="0"/>
        <v>0</v>
      </c>
    </row>
    <row r="35" spans="1:9" s="18" customFormat="1" ht="18" customHeight="1">
      <c r="A35" s="9" t="str">
        <f ca="1">IF(ROWS($1:25)&gt;COUNT(Dong),"",OFFSET(TH!C$1,SMALL(Dong,ROWS($1:25)),))</f>
        <v/>
      </c>
      <c r="B35" s="51" t="str">
        <f ca="1">IF(ROWS($1:25)&gt;COUNT(Dong),"",OFFSET(TH!D$1,SMALL(Dong,ROWS($1:25)),))</f>
        <v/>
      </c>
      <c r="C35" s="9" t="str">
        <f ca="1">IF(ROWS($1:25)&gt;COUNT(Dong),"",OFFSET(TH!E$1,SMALL(Dong,ROWS($1:25)),))</f>
        <v/>
      </c>
      <c r="D35" s="163" t="str">
        <f ca="1">IF(ROWS($1:25)&gt;COUNT(Dong),"",OFFSET(TH!F$1,SMALL(Dong,ROWS($1:25)),))</f>
        <v/>
      </c>
      <c r="E35" s="223" t="str">
        <f ca="1">IF(ROWS($1:25)&gt;COUNT(Dong),"",OFFSET(TH!I$1,SMALL(Dong,ROWS($1:25)),))</f>
        <v/>
      </c>
      <c r="F35" s="223" t="str">
        <f ca="1">IF(ROWS($1:25)&gt;COUNT(Dong),"",OFFSET(TH!J$1,SMALL(Dong,ROWS($1:25)),))</f>
        <v/>
      </c>
      <c r="G35" s="51" t="str">
        <f ca="1">IF(ROWS($1:25)&gt;COUNT(Dong),"",IF(OFFSET(TH!O$1,SMALL(Dong,ROWS($1:25)),)="331",OFFSET(TH!M$1,SMALL(Dong,ROWS($1:25)),),0))</f>
        <v/>
      </c>
      <c r="H35" s="51" t="str">
        <f ca="1">IF(ROWS($1:25)&gt;COUNT(Dong),"",IF(OFFSET(TH!N$1,SMALL(Dong,ROWS($1:25)),)="331",OFFSET(TH!M$1,SMALL(Dong,ROWS($1:25)),),0))</f>
        <v/>
      </c>
      <c r="I35" s="23">
        <f t="shared" ca="1" si="0"/>
        <v>0</v>
      </c>
    </row>
    <row r="36" spans="1:9" s="18" customFormat="1" ht="18" customHeight="1">
      <c r="A36" s="9" t="str">
        <f ca="1">IF(ROWS($1:26)&gt;COUNT(Dong),"",OFFSET(TH!C$1,SMALL(Dong,ROWS($1:26)),))</f>
        <v/>
      </c>
      <c r="B36" s="51" t="str">
        <f ca="1">IF(ROWS($1:26)&gt;COUNT(Dong),"",OFFSET(TH!D$1,SMALL(Dong,ROWS($1:26)),))</f>
        <v/>
      </c>
      <c r="C36" s="9" t="str">
        <f ca="1">IF(ROWS($1:26)&gt;COUNT(Dong),"",OFFSET(TH!E$1,SMALL(Dong,ROWS($1:26)),))</f>
        <v/>
      </c>
      <c r="D36" s="163" t="str">
        <f ca="1">IF(ROWS($1:26)&gt;COUNT(Dong),"",OFFSET(TH!F$1,SMALL(Dong,ROWS($1:26)),))</f>
        <v/>
      </c>
      <c r="E36" s="223" t="str">
        <f ca="1">IF(ROWS($1:26)&gt;COUNT(Dong),"",OFFSET(TH!I$1,SMALL(Dong,ROWS($1:26)),))</f>
        <v/>
      </c>
      <c r="F36" s="223" t="str">
        <f ca="1">IF(ROWS($1:26)&gt;COUNT(Dong),"",OFFSET(TH!J$1,SMALL(Dong,ROWS($1:26)),))</f>
        <v/>
      </c>
      <c r="G36" s="51" t="str">
        <f ca="1">IF(ROWS($1:26)&gt;COUNT(Dong),"",IF(OFFSET(TH!O$1,SMALL(Dong,ROWS($1:26)),)="331",OFFSET(TH!M$1,SMALL(Dong,ROWS($1:26)),),0))</f>
        <v/>
      </c>
      <c r="H36" s="51" t="str">
        <f ca="1">IF(ROWS($1:26)&gt;COUNT(Dong),"",IF(OFFSET(TH!N$1,SMALL(Dong,ROWS($1:26)),)="331",OFFSET(TH!M$1,SMALL(Dong,ROWS($1:26)),),0))</f>
        <v/>
      </c>
      <c r="I36" s="23">
        <f t="shared" ca="1" si="0"/>
        <v>0</v>
      </c>
    </row>
    <row r="37" spans="1:9" s="18" customFormat="1" ht="18" customHeight="1">
      <c r="A37" s="9" t="str">
        <f ca="1">IF(ROWS($1:27)&gt;COUNT(Dong),"",OFFSET(TH!C$1,SMALL(Dong,ROWS($1:27)),))</f>
        <v/>
      </c>
      <c r="B37" s="51" t="str">
        <f ca="1">IF(ROWS($1:27)&gt;COUNT(Dong),"",OFFSET(TH!D$1,SMALL(Dong,ROWS($1:27)),))</f>
        <v/>
      </c>
      <c r="C37" s="9" t="str">
        <f ca="1">IF(ROWS($1:27)&gt;COUNT(Dong),"",OFFSET(TH!E$1,SMALL(Dong,ROWS($1:27)),))</f>
        <v/>
      </c>
      <c r="D37" s="163" t="str">
        <f ca="1">IF(ROWS($1:27)&gt;COUNT(Dong),"",OFFSET(TH!F$1,SMALL(Dong,ROWS($1:27)),))</f>
        <v/>
      </c>
      <c r="E37" s="223" t="str">
        <f ca="1">IF(ROWS($1:27)&gt;COUNT(Dong),"",OFFSET(TH!I$1,SMALL(Dong,ROWS($1:27)),))</f>
        <v/>
      </c>
      <c r="F37" s="223" t="str">
        <f ca="1">IF(ROWS($1:27)&gt;COUNT(Dong),"",OFFSET(TH!J$1,SMALL(Dong,ROWS($1:27)),))</f>
        <v/>
      </c>
      <c r="G37" s="51" t="str">
        <f ca="1">IF(ROWS($1:27)&gt;COUNT(Dong),"",IF(OFFSET(TH!O$1,SMALL(Dong,ROWS($1:27)),)="331",OFFSET(TH!M$1,SMALL(Dong,ROWS($1:27)),),0))</f>
        <v/>
      </c>
      <c r="H37" s="51" t="str">
        <f ca="1">IF(ROWS($1:27)&gt;COUNT(Dong),"",IF(OFFSET(TH!N$1,SMALL(Dong,ROWS($1:27)),)="331",OFFSET(TH!M$1,SMALL(Dong,ROWS($1:27)),),0))</f>
        <v/>
      </c>
      <c r="I37" s="23">
        <f t="shared" ca="1" si="0"/>
        <v>0</v>
      </c>
    </row>
    <row r="38" spans="1:9" s="18" customFormat="1" ht="18" customHeight="1">
      <c r="A38" s="9" t="str">
        <f ca="1">IF(ROWS($1:28)&gt;COUNT(Dong),"",OFFSET(TH!C$1,SMALL(Dong,ROWS($1:28)),))</f>
        <v/>
      </c>
      <c r="B38" s="51" t="str">
        <f ca="1">IF(ROWS($1:28)&gt;COUNT(Dong),"",OFFSET(TH!D$1,SMALL(Dong,ROWS($1:28)),))</f>
        <v/>
      </c>
      <c r="C38" s="9" t="str">
        <f ca="1">IF(ROWS($1:28)&gt;COUNT(Dong),"",OFFSET(TH!E$1,SMALL(Dong,ROWS($1:28)),))</f>
        <v/>
      </c>
      <c r="D38" s="163" t="str">
        <f ca="1">IF(ROWS($1:28)&gt;COUNT(Dong),"",OFFSET(TH!F$1,SMALL(Dong,ROWS($1:28)),))</f>
        <v/>
      </c>
      <c r="E38" s="223" t="str">
        <f ca="1">IF(ROWS($1:28)&gt;COUNT(Dong),"",OFFSET(TH!I$1,SMALL(Dong,ROWS($1:28)),))</f>
        <v/>
      </c>
      <c r="F38" s="223" t="str">
        <f ca="1">IF(ROWS($1:28)&gt;COUNT(Dong),"",OFFSET(TH!J$1,SMALL(Dong,ROWS($1:28)),))</f>
        <v/>
      </c>
      <c r="G38" s="51" t="str">
        <f ca="1">IF(ROWS($1:28)&gt;COUNT(Dong),"",IF(OFFSET(TH!O$1,SMALL(Dong,ROWS($1:28)),)="331",OFFSET(TH!M$1,SMALL(Dong,ROWS($1:28)),),0))</f>
        <v/>
      </c>
      <c r="H38" s="51" t="str">
        <f ca="1">IF(ROWS($1:28)&gt;COUNT(Dong),"",IF(OFFSET(TH!N$1,SMALL(Dong,ROWS($1:28)),)="331",OFFSET(TH!M$1,SMALL(Dong,ROWS($1:28)),),0))</f>
        <v/>
      </c>
      <c r="I38" s="23">
        <f t="shared" ca="1" si="0"/>
        <v>0</v>
      </c>
    </row>
    <row r="39" spans="1:9" s="18" customFormat="1" ht="18" customHeight="1">
      <c r="A39" s="9" t="str">
        <f ca="1">IF(ROWS($1:29)&gt;COUNT(Dong),"",OFFSET(TH!C$1,SMALL(Dong,ROWS($1:29)),))</f>
        <v/>
      </c>
      <c r="B39" s="51" t="str">
        <f ca="1">IF(ROWS($1:29)&gt;COUNT(Dong),"",OFFSET(TH!D$1,SMALL(Dong,ROWS($1:29)),))</f>
        <v/>
      </c>
      <c r="C39" s="9" t="str">
        <f ca="1">IF(ROWS($1:29)&gt;COUNT(Dong),"",OFFSET(TH!E$1,SMALL(Dong,ROWS($1:29)),))</f>
        <v/>
      </c>
      <c r="D39" s="163" t="str">
        <f ca="1">IF(ROWS($1:29)&gt;COUNT(Dong),"",OFFSET(TH!F$1,SMALL(Dong,ROWS($1:29)),))</f>
        <v/>
      </c>
      <c r="E39" s="223" t="str">
        <f ca="1">IF(ROWS($1:29)&gt;COUNT(Dong),"",OFFSET(TH!I$1,SMALL(Dong,ROWS($1:29)),))</f>
        <v/>
      </c>
      <c r="F39" s="223" t="str">
        <f ca="1">IF(ROWS($1:29)&gt;COUNT(Dong),"",OFFSET(TH!J$1,SMALL(Dong,ROWS($1:29)),))</f>
        <v/>
      </c>
      <c r="G39" s="51" t="str">
        <f ca="1">IF(ROWS($1:29)&gt;COUNT(Dong),"",IF(OFFSET(TH!O$1,SMALL(Dong,ROWS($1:29)),)="331",OFFSET(TH!M$1,SMALL(Dong,ROWS($1:29)),),0))</f>
        <v/>
      </c>
      <c r="H39" s="51" t="str">
        <f ca="1">IF(ROWS($1:29)&gt;COUNT(Dong),"",IF(OFFSET(TH!N$1,SMALL(Dong,ROWS($1:29)),)="331",OFFSET(TH!M$1,SMALL(Dong,ROWS($1:29)),),0))</f>
        <v/>
      </c>
      <c r="I39" s="23">
        <f t="shared" ca="1" si="0"/>
        <v>0</v>
      </c>
    </row>
    <row r="40" spans="1:9" s="18" customFormat="1" ht="18" customHeight="1">
      <c r="A40" s="9" t="str">
        <f ca="1">IF(ROWS($1:30)&gt;COUNT(Dong),"",OFFSET(TH!C$1,SMALL(Dong,ROWS($1:30)),))</f>
        <v/>
      </c>
      <c r="B40" s="51" t="str">
        <f ca="1">IF(ROWS($1:30)&gt;COUNT(Dong),"",OFFSET(TH!D$1,SMALL(Dong,ROWS($1:30)),))</f>
        <v/>
      </c>
      <c r="C40" s="9" t="str">
        <f ca="1">IF(ROWS($1:30)&gt;COUNT(Dong),"",OFFSET(TH!E$1,SMALL(Dong,ROWS($1:30)),))</f>
        <v/>
      </c>
      <c r="D40" s="163" t="str">
        <f ca="1">IF(ROWS($1:30)&gt;COUNT(Dong),"",OFFSET(TH!F$1,SMALL(Dong,ROWS($1:30)),))</f>
        <v/>
      </c>
      <c r="E40" s="223" t="str">
        <f ca="1">IF(ROWS($1:30)&gt;COUNT(Dong),"",OFFSET(TH!I$1,SMALL(Dong,ROWS($1:30)),))</f>
        <v/>
      </c>
      <c r="F40" s="223" t="str">
        <f ca="1">IF(ROWS($1:30)&gt;COUNT(Dong),"",OFFSET(TH!J$1,SMALL(Dong,ROWS($1:30)),))</f>
        <v/>
      </c>
      <c r="G40" s="51" t="str">
        <f ca="1">IF(ROWS($1:30)&gt;COUNT(Dong),"",IF(OFFSET(TH!O$1,SMALL(Dong,ROWS($1:30)),)="331",OFFSET(TH!M$1,SMALL(Dong,ROWS($1:30)),),0))</f>
        <v/>
      </c>
      <c r="H40" s="51" t="str">
        <f ca="1">IF(ROWS($1:30)&gt;COUNT(Dong),"",IF(OFFSET(TH!N$1,SMALL(Dong,ROWS($1:30)),)="331",OFFSET(TH!M$1,SMALL(Dong,ROWS($1:30)),),0))</f>
        <v/>
      </c>
      <c r="I40" s="23">
        <f t="shared" ca="1" si="0"/>
        <v>0</v>
      </c>
    </row>
    <row r="41" spans="1:9" s="18" customFormat="1" ht="18" customHeight="1">
      <c r="A41" s="9" t="str">
        <f ca="1">IF(ROWS($1:31)&gt;COUNT(Dong),"",OFFSET(TH!C$1,SMALL(Dong,ROWS($1:31)),))</f>
        <v/>
      </c>
      <c r="B41" s="51" t="str">
        <f ca="1">IF(ROWS($1:31)&gt;COUNT(Dong),"",OFFSET(TH!D$1,SMALL(Dong,ROWS($1:31)),))</f>
        <v/>
      </c>
      <c r="C41" s="9" t="str">
        <f ca="1">IF(ROWS($1:31)&gt;COUNT(Dong),"",OFFSET(TH!E$1,SMALL(Dong,ROWS($1:31)),))</f>
        <v/>
      </c>
      <c r="D41" s="163" t="str">
        <f ca="1">IF(ROWS($1:31)&gt;COUNT(Dong),"",OFFSET(TH!F$1,SMALL(Dong,ROWS($1:31)),))</f>
        <v/>
      </c>
      <c r="E41" s="223" t="str">
        <f ca="1">IF(ROWS($1:31)&gt;COUNT(Dong),"",OFFSET(TH!I$1,SMALL(Dong,ROWS($1:31)),))</f>
        <v/>
      </c>
      <c r="F41" s="223" t="str">
        <f ca="1">IF(ROWS($1:31)&gt;COUNT(Dong),"",OFFSET(TH!J$1,SMALL(Dong,ROWS($1:31)),))</f>
        <v/>
      </c>
      <c r="G41" s="51" t="str">
        <f ca="1">IF(ROWS($1:31)&gt;COUNT(Dong),"",IF(OFFSET(TH!O$1,SMALL(Dong,ROWS($1:31)),)="331",OFFSET(TH!M$1,SMALL(Dong,ROWS($1:31)),),0))</f>
        <v/>
      </c>
      <c r="H41" s="51" t="str">
        <f ca="1">IF(ROWS($1:31)&gt;COUNT(Dong),"",IF(OFFSET(TH!N$1,SMALL(Dong,ROWS($1:31)),)="331",OFFSET(TH!M$1,SMALL(Dong,ROWS($1:31)),),0))</f>
        <v/>
      </c>
      <c r="I41" s="23">
        <f t="shared" ca="1" si="0"/>
        <v>0</v>
      </c>
    </row>
    <row r="42" spans="1:9" s="18" customFormat="1" ht="18" customHeight="1">
      <c r="A42" s="9" t="str">
        <f ca="1">IF(ROWS($1:32)&gt;COUNT(Dong),"",OFFSET(TH!C$1,SMALL(Dong,ROWS($1:32)),))</f>
        <v/>
      </c>
      <c r="B42" s="51" t="str">
        <f ca="1">IF(ROWS($1:32)&gt;COUNT(Dong),"",OFFSET(TH!D$1,SMALL(Dong,ROWS($1:32)),))</f>
        <v/>
      </c>
      <c r="C42" s="9" t="str">
        <f ca="1">IF(ROWS($1:32)&gt;COUNT(Dong),"",OFFSET(TH!E$1,SMALL(Dong,ROWS($1:32)),))</f>
        <v/>
      </c>
      <c r="D42" s="163" t="str">
        <f ca="1">IF(ROWS($1:32)&gt;COUNT(Dong),"",OFFSET(TH!F$1,SMALL(Dong,ROWS($1:32)),))</f>
        <v/>
      </c>
      <c r="E42" s="223" t="str">
        <f ca="1">IF(ROWS($1:32)&gt;COUNT(Dong),"",OFFSET(TH!I$1,SMALL(Dong,ROWS($1:32)),))</f>
        <v/>
      </c>
      <c r="F42" s="223" t="str">
        <f ca="1">IF(ROWS($1:32)&gt;COUNT(Dong),"",OFFSET(TH!J$1,SMALL(Dong,ROWS($1:32)),))</f>
        <v/>
      </c>
      <c r="G42" s="51" t="str">
        <f ca="1">IF(ROWS($1:32)&gt;COUNT(Dong),"",IF(OFFSET(TH!O$1,SMALL(Dong,ROWS($1:32)),)="331",OFFSET(TH!M$1,SMALL(Dong,ROWS($1:32)),),0))</f>
        <v/>
      </c>
      <c r="H42" s="51" t="str">
        <f ca="1">IF(ROWS($1:32)&gt;COUNT(Dong),"",IF(OFFSET(TH!N$1,SMALL(Dong,ROWS($1:32)),)="331",OFFSET(TH!M$1,SMALL(Dong,ROWS($1:32)),),0))</f>
        <v/>
      </c>
      <c r="I42" s="23">
        <f t="shared" ca="1" si="0"/>
        <v>0</v>
      </c>
    </row>
    <row r="43" spans="1:9" s="18" customFormat="1" ht="18" customHeight="1">
      <c r="A43" s="9" t="str">
        <f ca="1">IF(ROWS($1:33)&gt;COUNT(Dong),"",OFFSET(TH!C$1,SMALL(Dong,ROWS($1:33)),))</f>
        <v/>
      </c>
      <c r="B43" s="51" t="str">
        <f ca="1">IF(ROWS($1:33)&gt;COUNT(Dong),"",OFFSET(TH!D$1,SMALL(Dong,ROWS($1:33)),))</f>
        <v/>
      </c>
      <c r="C43" s="9" t="str">
        <f ca="1">IF(ROWS($1:33)&gt;COUNT(Dong),"",OFFSET(TH!E$1,SMALL(Dong,ROWS($1:33)),))</f>
        <v/>
      </c>
      <c r="D43" s="163" t="str">
        <f ca="1">IF(ROWS($1:33)&gt;COUNT(Dong),"",OFFSET(TH!F$1,SMALL(Dong,ROWS($1:33)),))</f>
        <v/>
      </c>
      <c r="E43" s="223" t="str">
        <f ca="1">IF(ROWS($1:33)&gt;COUNT(Dong),"",OFFSET(TH!I$1,SMALL(Dong,ROWS($1:33)),))</f>
        <v/>
      </c>
      <c r="F43" s="223" t="str">
        <f ca="1">IF(ROWS($1:33)&gt;COUNT(Dong),"",OFFSET(TH!J$1,SMALL(Dong,ROWS($1:33)),))</f>
        <v/>
      </c>
      <c r="G43" s="51" t="str">
        <f ca="1">IF(ROWS($1:33)&gt;COUNT(Dong),"",IF(OFFSET(TH!O$1,SMALL(Dong,ROWS($1:33)),)="331",OFFSET(TH!M$1,SMALL(Dong,ROWS($1:33)),),0))</f>
        <v/>
      </c>
      <c r="H43" s="51" t="str">
        <f ca="1">IF(ROWS($1:33)&gt;COUNT(Dong),"",IF(OFFSET(TH!N$1,SMALL(Dong,ROWS($1:33)),)="331",OFFSET(TH!M$1,SMALL(Dong,ROWS($1:33)),),0))</f>
        <v/>
      </c>
      <c r="I43" s="23">
        <f t="shared" ca="1" si="0"/>
        <v>0</v>
      </c>
    </row>
    <row r="44" spans="1:9" s="18" customFormat="1" ht="18" customHeight="1">
      <c r="A44" s="9" t="str">
        <f ca="1">IF(ROWS($1:34)&gt;COUNT(Dong),"",OFFSET(TH!C$1,SMALL(Dong,ROWS($1:34)),))</f>
        <v/>
      </c>
      <c r="B44" s="51" t="str">
        <f ca="1">IF(ROWS($1:34)&gt;COUNT(Dong),"",OFFSET(TH!D$1,SMALL(Dong,ROWS($1:34)),))</f>
        <v/>
      </c>
      <c r="C44" s="9" t="str">
        <f ca="1">IF(ROWS($1:34)&gt;COUNT(Dong),"",OFFSET(TH!E$1,SMALL(Dong,ROWS($1:34)),))</f>
        <v/>
      </c>
      <c r="D44" s="163" t="str">
        <f ca="1">IF(ROWS($1:34)&gt;COUNT(Dong),"",OFFSET(TH!F$1,SMALL(Dong,ROWS($1:34)),))</f>
        <v/>
      </c>
      <c r="E44" s="223" t="str">
        <f ca="1">IF(ROWS($1:34)&gt;COUNT(Dong),"",OFFSET(TH!I$1,SMALL(Dong,ROWS($1:34)),))</f>
        <v/>
      </c>
      <c r="F44" s="223" t="str">
        <f ca="1">IF(ROWS($1:34)&gt;COUNT(Dong),"",OFFSET(TH!J$1,SMALL(Dong,ROWS($1:34)),))</f>
        <v/>
      </c>
      <c r="G44" s="51" t="str">
        <f ca="1">IF(ROWS($1:34)&gt;COUNT(Dong),"",IF(OFFSET(TH!O$1,SMALL(Dong,ROWS($1:34)),)="331",OFFSET(TH!M$1,SMALL(Dong,ROWS($1:34)),),0))</f>
        <v/>
      </c>
      <c r="H44" s="51" t="str">
        <f ca="1">IF(ROWS($1:34)&gt;COUNT(Dong),"",IF(OFFSET(TH!N$1,SMALL(Dong,ROWS($1:34)),)="331",OFFSET(TH!M$1,SMALL(Dong,ROWS($1:34)),),0))</f>
        <v/>
      </c>
      <c r="I44" s="23">
        <f t="shared" ca="1" si="0"/>
        <v>0</v>
      </c>
    </row>
    <row r="45" spans="1:9" s="18" customFormat="1" ht="18" customHeight="1">
      <c r="A45" s="9" t="str">
        <f ca="1">IF(ROWS($1:35)&gt;COUNT(Dong),"",OFFSET(TH!C$1,SMALL(Dong,ROWS($1:35)),))</f>
        <v/>
      </c>
      <c r="B45" s="51" t="str">
        <f ca="1">IF(ROWS($1:35)&gt;COUNT(Dong),"",OFFSET(TH!D$1,SMALL(Dong,ROWS($1:35)),))</f>
        <v/>
      </c>
      <c r="C45" s="9" t="str">
        <f ca="1">IF(ROWS($1:35)&gt;COUNT(Dong),"",OFFSET(TH!E$1,SMALL(Dong,ROWS($1:35)),))</f>
        <v/>
      </c>
      <c r="D45" s="163" t="str">
        <f ca="1">IF(ROWS($1:35)&gt;COUNT(Dong),"",OFFSET(TH!F$1,SMALL(Dong,ROWS($1:35)),))</f>
        <v/>
      </c>
      <c r="E45" s="223" t="str">
        <f ca="1">IF(ROWS($1:35)&gt;COUNT(Dong),"",OFFSET(TH!I$1,SMALL(Dong,ROWS($1:35)),))</f>
        <v/>
      </c>
      <c r="F45" s="223" t="str">
        <f ca="1">IF(ROWS($1:35)&gt;COUNT(Dong),"",OFFSET(TH!J$1,SMALL(Dong,ROWS($1:35)),))</f>
        <v/>
      </c>
      <c r="G45" s="51" t="str">
        <f ca="1">IF(ROWS($1:35)&gt;COUNT(Dong),"",IF(OFFSET(TH!O$1,SMALL(Dong,ROWS($1:35)),)="331",OFFSET(TH!M$1,SMALL(Dong,ROWS($1:35)),),0))</f>
        <v/>
      </c>
      <c r="H45" s="51" t="str">
        <f ca="1">IF(ROWS($1:35)&gt;COUNT(Dong),"",IF(OFFSET(TH!N$1,SMALL(Dong,ROWS($1:35)),)="331",OFFSET(TH!M$1,SMALL(Dong,ROWS($1:35)),),0))</f>
        <v/>
      </c>
      <c r="I45" s="23">
        <f t="shared" ca="1" si="0"/>
        <v>0</v>
      </c>
    </row>
    <row r="46" spans="1:9" s="18" customFormat="1" ht="18" customHeight="1">
      <c r="A46" s="9" t="str">
        <f ca="1">IF(ROWS($1:36)&gt;COUNT(Dong),"",OFFSET(TH!C$1,SMALL(Dong,ROWS($1:36)),))</f>
        <v/>
      </c>
      <c r="B46" s="51" t="str">
        <f ca="1">IF(ROWS($1:36)&gt;COUNT(Dong),"",OFFSET(TH!D$1,SMALL(Dong,ROWS($1:36)),))</f>
        <v/>
      </c>
      <c r="C46" s="9" t="str">
        <f ca="1">IF(ROWS($1:36)&gt;COUNT(Dong),"",OFFSET(TH!E$1,SMALL(Dong,ROWS($1:36)),))</f>
        <v/>
      </c>
      <c r="D46" s="163" t="str">
        <f ca="1">IF(ROWS($1:36)&gt;COUNT(Dong),"",OFFSET(TH!F$1,SMALL(Dong,ROWS($1:36)),))</f>
        <v/>
      </c>
      <c r="E46" s="223" t="str">
        <f ca="1">IF(ROWS($1:36)&gt;COUNT(Dong),"",OFFSET(TH!I$1,SMALL(Dong,ROWS($1:36)),))</f>
        <v/>
      </c>
      <c r="F46" s="223" t="str">
        <f ca="1">IF(ROWS($1:36)&gt;COUNT(Dong),"",OFFSET(TH!J$1,SMALL(Dong,ROWS($1:36)),))</f>
        <v/>
      </c>
      <c r="G46" s="51" t="str">
        <f ca="1">IF(ROWS($1:36)&gt;COUNT(Dong),"",IF(OFFSET(TH!O$1,SMALL(Dong,ROWS($1:36)),)="331",OFFSET(TH!M$1,SMALL(Dong,ROWS($1:36)),),0))</f>
        <v/>
      </c>
      <c r="H46" s="51" t="str">
        <f ca="1">IF(ROWS($1:36)&gt;COUNT(Dong),"",IF(OFFSET(TH!N$1,SMALL(Dong,ROWS($1:36)),)="331",OFFSET(TH!M$1,SMALL(Dong,ROWS($1:36)),),0))</f>
        <v/>
      </c>
      <c r="I46" s="23">
        <f t="shared" ca="1" si="0"/>
        <v>0</v>
      </c>
    </row>
    <row r="47" spans="1:9" s="18" customFormat="1" ht="18" customHeight="1">
      <c r="A47" s="9" t="str">
        <f ca="1">IF(ROWS($1:37)&gt;COUNT(Dong),"",OFFSET(TH!C$1,SMALL(Dong,ROWS($1:37)),))</f>
        <v/>
      </c>
      <c r="B47" s="51" t="str">
        <f ca="1">IF(ROWS($1:37)&gt;COUNT(Dong),"",OFFSET(TH!D$1,SMALL(Dong,ROWS($1:37)),))</f>
        <v/>
      </c>
      <c r="C47" s="9" t="str">
        <f ca="1">IF(ROWS($1:37)&gt;COUNT(Dong),"",OFFSET(TH!E$1,SMALL(Dong,ROWS($1:37)),))</f>
        <v/>
      </c>
      <c r="D47" s="163" t="str">
        <f ca="1">IF(ROWS($1:37)&gt;COUNT(Dong),"",OFFSET(TH!F$1,SMALL(Dong,ROWS($1:37)),))</f>
        <v/>
      </c>
      <c r="E47" s="223" t="str">
        <f ca="1">IF(ROWS($1:37)&gt;COUNT(Dong),"",OFFSET(TH!I$1,SMALL(Dong,ROWS($1:37)),))</f>
        <v/>
      </c>
      <c r="F47" s="223" t="str">
        <f ca="1">IF(ROWS($1:37)&gt;COUNT(Dong),"",OFFSET(TH!J$1,SMALL(Dong,ROWS($1:37)),))</f>
        <v/>
      </c>
      <c r="G47" s="51" t="str">
        <f ca="1">IF(ROWS($1:37)&gt;COUNT(Dong),"",IF(OFFSET(TH!O$1,SMALL(Dong,ROWS($1:37)),)="331",OFFSET(TH!M$1,SMALL(Dong,ROWS($1:37)),),0))</f>
        <v/>
      </c>
      <c r="H47" s="51" t="str">
        <f ca="1">IF(ROWS($1:37)&gt;COUNT(Dong),"",IF(OFFSET(TH!N$1,SMALL(Dong,ROWS($1:37)),)="331",OFFSET(TH!M$1,SMALL(Dong,ROWS($1:37)),),0))</f>
        <v/>
      </c>
      <c r="I47" s="23">
        <f t="shared" ca="1" si="0"/>
        <v>0</v>
      </c>
    </row>
    <row r="48" spans="1:9" s="18" customFormat="1" ht="18" customHeight="1">
      <c r="A48" s="9" t="str">
        <f ca="1">IF(ROWS($1:38)&gt;COUNT(Dong),"",OFFSET(TH!C$1,SMALL(Dong,ROWS($1:38)),))</f>
        <v/>
      </c>
      <c r="B48" s="51" t="str">
        <f ca="1">IF(ROWS($1:38)&gt;COUNT(Dong),"",OFFSET(TH!D$1,SMALL(Dong,ROWS($1:38)),))</f>
        <v/>
      </c>
      <c r="C48" s="9" t="str">
        <f ca="1">IF(ROWS($1:38)&gt;COUNT(Dong),"",OFFSET(TH!E$1,SMALL(Dong,ROWS($1:38)),))</f>
        <v/>
      </c>
      <c r="D48" s="163" t="str">
        <f ca="1">IF(ROWS($1:38)&gt;COUNT(Dong),"",OFFSET(TH!F$1,SMALL(Dong,ROWS($1:38)),))</f>
        <v/>
      </c>
      <c r="E48" s="223" t="str">
        <f ca="1">IF(ROWS($1:38)&gt;COUNT(Dong),"",OFFSET(TH!I$1,SMALL(Dong,ROWS($1:38)),))</f>
        <v/>
      </c>
      <c r="F48" s="223" t="str">
        <f ca="1">IF(ROWS($1:38)&gt;COUNT(Dong),"",OFFSET(TH!J$1,SMALL(Dong,ROWS($1:38)),))</f>
        <v/>
      </c>
      <c r="G48" s="51" t="str">
        <f ca="1">IF(ROWS($1:38)&gt;COUNT(Dong),"",IF(OFFSET(TH!O$1,SMALL(Dong,ROWS($1:38)),)="331",OFFSET(TH!M$1,SMALL(Dong,ROWS($1:38)),),0))</f>
        <v/>
      </c>
      <c r="H48" s="51" t="str">
        <f ca="1">IF(ROWS($1:38)&gt;COUNT(Dong),"",IF(OFFSET(TH!N$1,SMALL(Dong,ROWS($1:38)),)="331",OFFSET(TH!M$1,SMALL(Dong,ROWS($1:38)),),0))</f>
        <v/>
      </c>
      <c r="I48" s="23">
        <f t="shared" ref="I48:I75" ca="1" si="2">IF(D48&lt;&gt;"",I47+G48-H48,0)</f>
        <v>0</v>
      </c>
    </row>
    <row r="49" spans="1:9" s="18" customFormat="1" ht="18" customHeight="1">
      <c r="A49" s="9" t="str">
        <f ca="1">IF(ROWS($1:39)&gt;COUNT(Dong),"",OFFSET(TH!C$1,SMALL(Dong,ROWS($1:39)),))</f>
        <v/>
      </c>
      <c r="B49" s="51" t="str">
        <f ca="1">IF(ROWS($1:39)&gt;COUNT(Dong),"",OFFSET(TH!D$1,SMALL(Dong,ROWS($1:39)),))</f>
        <v/>
      </c>
      <c r="C49" s="9" t="str">
        <f ca="1">IF(ROWS($1:39)&gt;COUNT(Dong),"",OFFSET(TH!E$1,SMALL(Dong,ROWS($1:39)),))</f>
        <v/>
      </c>
      <c r="D49" s="163" t="str">
        <f ca="1">IF(ROWS($1:39)&gt;COUNT(Dong),"",OFFSET(TH!F$1,SMALL(Dong,ROWS($1:39)),))</f>
        <v/>
      </c>
      <c r="E49" s="223" t="str">
        <f ca="1">IF(ROWS($1:39)&gt;COUNT(Dong),"",OFFSET(TH!I$1,SMALL(Dong,ROWS($1:39)),))</f>
        <v/>
      </c>
      <c r="F49" s="223" t="str">
        <f ca="1">IF(ROWS($1:39)&gt;COUNT(Dong),"",OFFSET(TH!J$1,SMALL(Dong,ROWS($1:39)),))</f>
        <v/>
      </c>
      <c r="G49" s="51" t="str">
        <f ca="1">IF(ROWS($1:39)&gt;COUNT(Dong),"",IF(OFFSET(TH!O$1,SMALL(Dong,ROWS($1:39)),)="331",OFFSET(TH!M$1,SMALL(Dong,ROWS($1:39)),),0))</f>
        <v/>
      </c>
      <c r="H49" s="51" t="str">
        <f ca="1">IF(ROWS($1:39)&gt;COUNT(Dong),"",IF(OFFSET(TH!N$1,SMALL(Dong,ROWS($1:39)),)="331",OFFSET(TH!M$1,SMALL(Dong,ROWS($1:39)),),0))</f>
        <v/>
      </c>
      <c r="I49" s="23">
        <f t="shared" ca="1" si="2"/>
        <v>0</v>
      </c>
    </row>
    <row r="50" spans="1:9" s="18" customFormat="1" ht="18" customHeight="1">
      <c r="A50" s="9" t="str">
        <f ca="1">IF(ROWS($1:40)&gt;COUNT(Dong),"",OFFSET(TH!C$1,SMALL(Dong,ROWS($1:40)),))</f>
        <v/>
      </c>
      <c r="B50" s="51" t="str">
        <f ca="1">IF(ROWS($1:40)&gt;COUNT(Dong),"",OFFSET(TH!D$1,SMALL(Dong,ROWS($1:40)),))</f>
        <v/>
      </c>
      <c r="C50" s="9" t="str">
        <f ca="1">IF(ROWS($1:40)&gt;COUNT(Dong),"",OFFSET(TH!E$1,SMALL(Dong,ROWS($1:40)),))</f>
        <v/>
      </c>
      <c r="D50" s="163" t="str">
        <f ca="1">IF(ROWS($1:40)&gt;COUNT(Dong),"",OFFSET(TH!F$1,SMALL(Dong,ROWS($1:40)),))</f>
        <v/>
      </c>
      <c r="E50" s="223" t="str">
        <f ca="1">IF(ROWS($1:40)&gt;COUNT(Dong),"",OFFSET(TH!I$1,SMALL(Dong,ROWS($1:40)),))</f>
        <v/>
      </c>
      <c r="F50" s="223" t="str">
        <f ca="1">IF(ROWS($1:40)&gt;COUNT(Dong),"",OFFSET(TH!J$1,SMALL(Dong,ROWS($1:40)),))</f>
        <v/>
      </c>
      <c r="G50" s="51" t="str">
        <f ca="1">IF(ROWS($1:40)&gt;COUNT(Dong),"",IF(OFFSET(TH!O$1,SMALL(Dong,ROWS($1:40)),)="331",OFFSET(TH!M$1,SMALL(Dong,ROWS($1:40)),),0))</f>
        <v/>
      </c>
      <c r="H50" s="51" t="str">
        <f ca="1">IF(ROWS($1:40)&gt;COUNT(Dong),"",IF(OFFSET(TH!N$1,SMALL(Dong,ROWS($1:40)),)="331",OFFSET(TH!M$1,SMALL(Dong,ROWS($1:40)),),0))</f>
        <v/>
      </c>
      <c r="I50" s="23">
        <f t="shared" ca="1" si="2"/>
        <v>0</v>
      </c>
    </row>
    <row r="51" spans="1:9" s="18" customFormat="1" ht="18" customHeight="1">
      <c r="A51" s="9" t="str">
        <f ca="1">IF(ROWS($1:41)&gt;COUNT(Dong),"",OFFSET(TH!C$1,SMALL(Dong,ROWS($1:41)),))</f>
        <v/>
      </c>
      <c r="B51" s="51" t="str">
        <f ca="1">IF(ROWS($1:41)&gt;COUNT(Dong),"",OFFSET(TH!D$1,SMALL(Dong,ROWS($1:41)),))</f>
        <v/>
      </c>
      <c r="C51" s="9" t="str">
        <f ca="1">IF(ROWS($1:41)&gt;COUNT(Dong),"",OFFSET(TH!E$1,SMALL(Dong,ROWS($1:41)),))</f>
        <v/>
      </c>
      <c r="D51" s="163" t="str">
        <f ca="1">IF(ROWS($1:41)&gt;COUNT(Dong),"",OFFSET(TH!F$1,SMALL(Dong,ROWS($1:41)),))</f>
        <v/>
      </c>
      <c r="E51" s="223" t="str">
        <f ca="1">IF(ROWS($1:41)&gt;COUNT(Dong),"",OFFSET(TH!I$1,SMALL(Dong,ROWS($1:41)),))</f>
        <v/>
      </c>
      <c r="F51" s="223" t="str">
        <f ca="1">IF(ROWS($1:41)&gt;COUNT(Dong),"",OFFSET(TH!J$1,SMALL(Dong,ROWS($1:41)),))</f>
        <v/>
      </c>
      <c r="G51" s="51" t="str">
        <f ca="1">IF(ROWS($1:41)&gt;COUNT(Dong),"",IF(OFFSET(TH!O$1,SMALL(Dong,ROWS($1:41)),)="331",OFFSET(TH!M$1,SMALL(Dong,ROWS($1:41)),),0))</f>
        <v/>
      </c>
      <c r="H51" s="51" t="str">
        <f ca="1">IF(ROWS($1:41)&gt;COUNT(Dong),"",IF(OFFSET(TH!N$1,SMALL(Dong,ROWS($1:41)),)="331",OFFSET(TH!M$1,SMALL(Dong,ROWS($1:41)),),0))</f>
        <v/>
      </c>
      <c r="I51" s="23">
        <f t="shared" ca="1" si="2"/>
        <v>0</v>
      </c>
    </row>
    <row r="52" spans="1:9" s="18" customFormat="1" ht="18" customHeight="1">
      <c r="A52" s="9" t="str">
        <f ca="1">IF(ROWS($1:42)&gt;COUNT(Dong),"",OFFSET(TH!C$1,SMALL(Dong,ROWS($1:42)),))</f>
        <v/>
      </c>
      <c r="B52" s="51" t="str">
        <f ca="1">IF(ROWS($1:42)&gt;COUNT(Dong),"",OFFSET(TH!D$1,SMALL(Dong,ROWS($1:42)),))</f>
        <v/>
      </c>
      <c r="C52" s="9" t="str">
        <f ca="1">IF(ROWS($1:42)&gt;COUNT(Dong),"",OFFSET(TH!E$1,SMALL(Dong,ROWS($1:42)),))</f>
        <v/>
      </c>
      <c r="D52" s="163" t="str">
        <f ca="1">IF(ROWS($1:42)&gt;COUNT(Dong),"",OFFSET(TH!F$1,SMALL(Dong,ROWS($1:42)),))</f>
        <v/>
      </c>
      <c r="E52" s="223" t="str">
        <f ca="1">IF(ROWS($1:42)&gt;COUNT(Dong),"",OFFSET(TH!I$1,SMALL(Dong,ROWS($1:42)),))</f>
        <v/>
      </c>
      <c r="F52" s="223" t="str">
        <f ca="1">IF(ROWS($1:42)&gt;COUNT(Dong),"",OFFSET(TH!J$1,SMALL(Dong,ROWS($1:42)),))</f>
        <v/>
      </c>
      <c r="G52" s="51" t="str">
        <f ca="1">IF(ROWS($1:42)&gt;COUNT(Dong),"",IF(OFFSET(TH!O$1,SMALL(Dong,ROWS($1:42)),)="331",OFFSET(TH!M$1,SMALL(Dong,ROWS($1:42)),),0))</f>
        <v/>
      </c>
      <c r="H52" s="51" t="str">
        <f ca="1">IF(ROWS($1:42)&gt;COUNT(Dong),"",IF(OFFSET(TH!N$1,SMALL(Dong,ROWS($1:42)),)="331",OFFSET(TH!M$1,SMALL(Dong,ROWS($1:42)),),0))</f>
        <v/>
      </c>
      <c r="I52" s="23">
        <f t="shared" ca="1" si="2"/>
        <v>0</v>
      </c>
    </row>
    <row r="53" spans="1:9" s="18" customFormat="1" ht="18" customHeight="1">
      <c r="A53" s="9" t="str">
        <f ca="1">IF(ROWS($1:43)&gt;COUNT(Dong),"",OFFSET(TH!C$1,SMALL(Dong,ROWS($1:43)),))</f>
        <v/>
      </c>
      <c r="B53" s="51" t="str">
        <f ca="1">IF(ROWS($1:43)&gt;COUNT(Dong),"",OFFSET(TH!D$1,SMALL(Dong,ROWS($1:43)),))</f>
        <v/>
      </c>
      <c r="C53" s="9" t="str">
        <f ca="1">IF(ROWS($1:43)&gt;COUNT(Dong),"",OFFSET(TH!E$1,SMALL(Dong,ROWS($1:43)),))</f>
        <v/>
      </c>
      <c r="D53" s="163" t="str">
        <f ca="1">IF(ROWS($1:43)&gt;COUNT(Dong),"",OFFSET(TH!F$1,SMALL(Dong,ROWS($1:43)),))</f>
        <v/>
      </c>
      <c r="E53" s="223" t="str">
        <f ca="1">IF(ROWS($1:43)&gt;COUNT(Dong),"",OFFSET(TH!I$1,SMALL(Dong,ROWS($1:43)),))</f>
        <v/>
      </c>
      <c r="F53" s="223" t="str">
        <f ca="1">IF(ROWS($1:43)&gt;COUNT(Dong),"",OFFSET(TH!J$1,SMALL(Dong,ROWS($1:43)),))</f>
        <v/>
      </c>
      <c r="G53" s="51" t="str">
        <f ca="1">IF(ROWS($1:43)&gt;COUNT(Dong),"",IF(OFFSET(TH!O$1,SMALL(Dong,ROWS($1:43)),)="331",OFFSET(TH!M$1,SMALL(Dong,ROWS($1:43)),),0))</f>
        <v/>
      </c>
      <c r="H53" s="51" t="str">
        <f ca="1">IF(ROWS($1:43)&gt;COUNT(Dong),"",IF(OFFSET(TH!N$1,SMALL(Dong,ROWS($1:43)),)="331",OFFSET(TH!M$1,SMALL(Dong,ROWS($1:43)),),0))</f>
        <v/>
      </c>
      <c r="I53" s="23">
        <f t="shared" ca="1" si="2"/>
        <v>0</v>
      </c>
    </row>
    <row r="54" spans="1:9" s="18" customFormat="1" ht="18" customHeight="1">
      <c r="A54" s="9" t="str">
        <f ca="1">IF(ROWS($1:44)&gt;COUNT(Dong),"",OFFSET(TH!C$1,SMALL(Dong,ROWS($1:44)),))</f>
        <v/>
      </c>
      <c r="B54" s="51" t="str">
        <f ca="1">IF(ROWS($1:44)&gt;COUNT(Dong),"",OFFSET(TH!D$1,SMALL(Dong,ROWS($1:44)),))</f>
        <v/>
      </c>
      <c r="C54" s="9" t="str">
        <f ca="1">IF(ROWS($1:44)&gt;COUNT(Dong),"",OFFSET(TH!E$1,SMALL(Dong,ROWS($1:44)),))</f>
        <v/>
      </c>
      <c r="D54" s="163" t="str">
        <f ca="1">IF(ROWS($1:44)&gt;COUNT(Dong),"",OFFSET(TH!F$1,SMALL(Dong,ROWS($1:44)),))</f>
        <v/>
      </c>
      <c r="E54" s="223" t="str">
        <f ca="1">IF(ROWS($1:44)&gt;COUNT(Dong),"",OFFSET(TH!I$1,SMALL(Dong,ROWS($1:44)),))</f>
        <v/>
      </c>
      <c r="F54" s="223" t="str">
        <f ca="1">IF(ROWS($1:44)&gt;COUNT(Dong),"",OFFSET(TH!J$1,SMALL(Dong,ROWS($1:44)),))</f>
        <v/>
      </c>
      <c r="G54" s="51" t="str">
        <f ca="1">IF(ROWS($1:44)&gt;COUNT(Dong),"",IF(OFFSET(TH!O$1,SMALL(Dong,ROWS($1:44)),)="331",OFFSET(TH!M$1,SMALL(Dong,ROWS($1:44)),),0))</f>
        <v/>
      </c>
      <c r="H54" s="51" t="str">
        <f ca="1">IF(ROWS($1:44)&gt;COUNT(Dong),"",IF(OFFSET(TH!N$1,SMALL(Dong,ROWS($1:44)),)="331",OFFSET(TH!M$1,SMALL(Dong,ROWS($1:44)),),0))</f>
        <v/>
      </c>
      <c r="I54" s="23">
        <f t="shared" ca="1" si="2"/>
        <v>0</v>
      </c>
    </row>
    <row r="55" spans="1:9" s="18" customFormat="1" ht="18" customHeight="1">
      <c r="A55" s="9" t="str">
        <f ca="1">IF(ROWS($1:45)&gt;COUNT(Dong),"",OFFSET(TH!C$1,SMALL(Dong,ROWS($1:45)),))</f>
        <v/>
      </c>
      <c r="B55" s="51" t="str">
        <f ca="1">IF(ROWS($1:45)&gt;COUNT(Dong),"",OFFSET(TH!D$1,SMALL(Dong,ROWS($1:45)),))</f>
        <v/>
      </c>
      <c r="C55" s="9" t="str">
        <f ca="1">IF(ROWS($1:45)&gt;COUNT(Dong),"",OFFSET(TH!E$1,SMALL(Dong,ROWS($1:45)),))</f>
        <v/>
      </c>
      <c r="D55" s="163" t="str">
        <f ca="1">IF(ROWS($1:45)&gt;COUNT(Dong),"",OFFSET(TH!F$1,SMALL(Dong,ROWS($1:45)),))</f>
        <v/>
      </c>
      <c r="E55" s="223" t="str">
        <f ca="1">IF(ROWS($1:45)&gt;COUNT(Dong),"",OFFSET(TH!I$1,SMALL(Dong,ROWS($1:45)),))</f>
        <v/>
      </c>
      <c r="F55" s="223" t="str">
        <f ca="1">IF(ROWS($1:45)&gt;COUNT(Dong),"",OFFSET(TH!J$1,SMALL(Dong,ROWS($1:45)),))</f>
        <v/>
      </c>
      <c r="G55" s="51" t="str">
        <f ca="1">IF(ROWS($1:45)&gt;COUNT(Dong),"",IF(OFFSET(TH!O$1,SMALL(Dong,ROWS($1:45)),)="331",OFFSET(TH!M$1,SMALL(Dong,ROWS($1:45)),),0))</f>
        <v/>
      </c>
      <c r="H55" s="51" t="str">
        <f ca="1">IF(ROWS($1:45)&gt;COUNT(Dong),"",IF(OFFSET(TH!N$1,SMALL(Dong,ROWS($1:45)),)="331",OFFSET(TH!M$1,SMALL(Dong,ROWS($1:45)),),0))</f>
        <v/>
      </c>
      <c r="I55" s="23">
        <f t="shared" ca="1" si="2"/>
        <v>0</v>
      </c>
    </row>
    <row r="56" spans="1:9" s="18" customFormat="1" ht="18" customHeight="1">
      <c r="A56" s="9" t="str">
        <f ca="1">IF(ROWS($1:46)&gt;COUNT(Dong),"",OFFSET(TH!C$1,SMALL(Dong,ROWS($1:46)),))</f>
        <v/>
      </c>
      <c r="B56" s="51" t="str">
        <f ca="1">IF(ROWS($1:46)&gt;COUNT(Dong),"",OFFSET(TH!D$1,SMALL(Dong,ROWS($1:46)),))</f>
        <v/>
      </c>
      <c r="C56" s="9" t="str">
        <f ca="1">IF(ROWS($1:46)&gt;COUNT(Dong),"",OFFSET(TH!E$1,SMALL(Dong,ROWS($1:46)),))</f>
        <v/>
      </c>
      <c r="D56" s="163" t="str">
        <f ca="1">IF(ROWS($1:46)&gt;COUNT(Dong),"",OFFSET(TH!F$1,SMALL(Dong,ROWS($1:46)),))</f>
        <v/>
      </c>
      <c r="E56" s="223" t="str">
        <f ca="1">IF(ROWS($1:46)&gt;COUNT(Dong),"",OFFSET(TH!I$1,SMALL(Dong,ROWS($1:46)),))</f>
        <v/>
      </c>
      <c r="F56" s="223" t="str">
        <f ca="1">IF(ROWS($1:46)&gt;COUNT(Dong),"",OFFSET(TH!J$1,SMALL(Dong,ROWS($1:46)),))</f>
        <v/>
      </c>
      <c r="G56" s="51" t="str">
        <f ca="1">IF(ROWS($1:46)&gt;COUNT(Dong),"",IF(OFFSET(TH!O$1,SMALL(Dong,ROWS($1:46)),)="331",OFFSET(TH!M$1,SMALL(Dong,ROWS($1:46)),),0))</f>
        <v/>
      </c>
      <c r="H56" s="51" t="str">
        <f ca="1">IF(ROWS($1:46)&gt;COUNT(Dong),"",IF(OFFSET(TH!N$1,SMALL(Dong,ROWS($1:46)),)="331",OFFSET(TH!M$1,SMALL(Dong,ROWS($1:46)),),0))</f>
        <v/>
      </c>
      <c r="I56" s="23">
        <f t="shared" ca="1" si="2"/>
        <v>0</v>
      </c>
    </row>
    <row r="57" spans="1:9" s="18" customFormat="1" ht="18" customHeight="1">
      <c r="A57" s="9" t="str">
        <f ca="1">IF(ROWS($1:47)&gt;COUNT(Dong),"",OFFSET(TH!C$1,SMALL(Dong,ROWS($1:47)),))</f>
        <v/>
      </c>
      <c r="B57" s="51" t="str">
        <f ca="1">IF(ROWS($1:47)&gt;COUNT(Dong),"",OFFSET(TH!D$1,SMALL(Dong,ROWS($1:47)),))</f>
        <v/>
      </c>
      <c r="C57" s="9" t="str">
        <f ca="1">IF(ROWS($1:47)&gt;COUNT(Dong),"",OFFSET(TH!E$1,SMALL(Dong,ROWS($1:47)),))</f>
        <v/>
      </c>
      <c r="D57" s="163" t="str">
        <f ca="1">IF(ROWS($1:47)&gt;COUNT(Dong),"",OFFSET(TH!F$1,SMALL(Dong,ROWS($1:47)),))</f>
        <v/>
      </c>
      <c r="E57" s="223" t="str">
        <f ca="1">IF(ROWS($1:47)&gt;COUNT(Dong),"",OFFSET(TH!I$1,SMALL(Dong,ROWS($1:47)),))</f>
        <v/>
      </c>
      <c r="F57" s="223" t="str">
        <f ca="1">IF(ROWS($1:47)&gt;COUNT(Dong),"",OFFSET(TH!J$1,SMALL(Dong,ROWS($1:47)),))</f>
        <v/>
      </c>
      <c r="G57" s="51" t="str">
        <f ca="1">IF(ROWS($1:47)&gt;COUNT(Dong),"",IF(OFFSET(TH!O$1,SMALL(Dong,ROWS($1:47)),)="331",OFFSET(TH!M$1,SMALL(Dong,ROWS($1:47)),),0))</f>
        <v/>
      </c>
      <c r="H57" s="51" t="str">
        <f ca="1">IF(ROWS($1:47)&gt;COUNT(Dong),"",IF(OFFSET(TH!N$1,SMALL(Dong,ROWS($1:47)),)="331",OFFSET(TH!M$1,SMALL(Dong,ROWS($1:47)),),0))</f>
        <v/>
      </c>
      <c r="I57" s="23">
        <f t="shared" ca="1" si="2"/>
        <v>0</v>
      </c>
    </row>
    <row r="58" spans="1:9" s="18" customFormat="1" ht="18" customHeight="1">
      <c r="A58" s="9" t="str">
        <f ca="1">IF(ROWS($1:48)&gt;COUNT(Dong),"",OFFSET(TH!C$1,SMALL(Dong,ROWS($1:48)),))</f>
        <v/>
      </c>
      <c r="B58" s="51" t="str">
        <f ca="1">IF(ROWS($1:48)&gt;COUNT(Dong),"",OFFSET(TH!D$1,SMALL(Dong,ROWS($1:48)),))</f>
        <v/>
      </c>
      <c r="C58" s="9" t="str">
        <f ca="1">IF(ROWS($1:48)&gt;COUNT(Dong),"",OFFSET(TH!E$1,SMALL(Dong,ROWS($1:48)),))</f>
        <v/>
      </c>
      <c r="D58" s="163" t="str">
        <f ca="1">IF(ROWS($1:48)&gt;COUNT(Dong),"",OFFSET(TH!F$1,SMALL(Dong,ROWS($1:48)),))</f>
        <v/>
      </c>
      <c r="E58" s="223" t="str">
        <f ca="1">IF(ROWS($1:48)&gt;COUNT(Dong),"",OFFSET(TH!I$1,SMALL(Dong,ROWS($1:48)),))</f>
        <v/>
      </c>
      <c r="F58" s="223" t="str">
        <f ca="1">IF(ROWS($1:48)&gt;COUNT(Dong),"",OFFSET(TH!J$1,SMALL(Dong,ROWS($1:48)),))</f>
        <v/>
      </c>
      <c r="G58" s="51" t="str">
        <f ca="1">IF(ROWS($1:48)&gt;COUNT(Dong),"",IF(OFFSET(TH!O$1,SMALL(Dong,ROWS($1:48)),)="331",OFFSET(TH!M$1,SMALL(Dong,ROWS($1:48)),),0))</f>
        <v/>
      </c>
      <c r="H58" s="51" t="str">
        <f ca="1">IF(ROWS($1:48)&gt;COUNT(Dong),"",IF(OFFSET(TH!N$1,SMALL(Dong,ROWS($1:48)),)="331",OFFSET(TH!M$1,SMALL(Dong,ROWS($1:48)),),0))</f>
        <v/>
      </c>
      <c r="I58" s="23">
        <f t="shared" ca="1" si="2"/>
        <v>0</v>
      </c>
    </row>
    <row r="59" spans="1:9" s="18" customFormat="1" ht="18" customHeight="1">
      <c r="A59" s="9" t="str">
        <f ca="1">IF(ROWS($1:49)&gt;COUNT(Dong),"",OFFSET(TH!C$1,SMALL(Dong,ROWS($1:49)),))</f>
        <v/>
      </c>
      <c r="B59" s="51" t="str">
        <f ca="1">IF(ROWS($1:49)&gt;COUNT(Dong),"",OFFSET(TH!D$1,SMALL(Dong,ROWS($1:49)),))</f>
        <v/>
      </c>
      <c r="C59" s="9" t="str">
        <f ca="1">IF(ROWS($1:49)&gt;COUNT(Dong),"",OFFSET(TH!E$1,SMALL(Dong,ROWS($1:49)),))</f>
        <v/>
      </c>
      <c r="D59" s="163" t="str">
        <f ca="1">IF(ROWS($1:49)&gt;COUNT(Dong),"",OFFSET(TH!F$1,SMALL(Dong,ROWS($1:49)),))</f>
        <v/>
      </c>
      <c r="E59" s="223" t="str">
        <f ca="1">IF(ROWS($1:49)&gt;COUNT(Dong),"",OFFSET(TH!I$1,SMALL(Dong,ROWS($1:49)),))</f>
        <v/>
      </c>
      <c r="F59" s="223" t="str">
        <f ca="1">IF(ROWS($1:49)&gt;COUNT(Dong),"",OFFSET(TH!J$1,SMALL(Dong,ROWS($1:49)),))</f>
        <v/>
      </c>
      <c r="G59" s="51" t="str">
        <f ca="1">IF(ROWS($1:49)&gt;COUNT(Dong),"",IF(OFFSET(TH!O$1,SMALL(Dong,ROWS($1:49)),)="331",OFFSET(TH!M$1,SMALL(Dong,ROWS($1:49)),),0))</f>
        <v/>
      </c>
      <c r="H59" s="51" t="str">
        <f ca="1">IF(ROWS($1:49)&gt;COUNT(Dong),"",IF(OFFSET(TH!N$1,SMALL(Dong,ROWS($1:49)),)="331",OFFSET(TH!M$1,SMALL(Dong,ROWS($1:49)),),0))</f>
        <v/>
      </c>
      <c r="I59" s="23">
        <f t="shared" ca="1" si="2"/>
        <v>0</v>
      </c>
    </row>
    <row r="60" spans="1:9" s="18" customFormat="1" ht="18" customHeight="1">
      <c r="A60" s="9" t="str">
        <f ca="1">IF(ROWS($1:50)&gt;COUNT(Dong),"",OFFSET(TH!C$1,SMALL(Dong,ROWS($1:50)),))</f>
        <v/>
      </c>
      <c r="B60" s="51" t="str">
        <f ca="1">IF(ROWS($1:50)&gt;COUNT(Dong),"",OFFSET(TH!D$1,SMALL(Dong,ROWS($1:50)),))</f>
        <v/>
      </c>
      <c r="C60" s="9" t="str">
        <f ca="1">IF(ROWS($1:50)&gt;COUNT(Dong),"",OFFSET(TH!E$1,SMALL(Dong,ROWS($1:50)),))</f>
        <v/>
      </c>
      <c r="D60" s="163" t="str">
        <f ca="1">IF(ROWS($1:50)&gt;COUNT(Dong),"",OFFSET(TH!F$1,SMALL(Dong,ROWS($1:50)),))</f>
        <v/>
      </c>
      <c r="E60" s="223" t="str">
        <f ca="1">IF(ROWS($1:50)&gt;COUNT(Dong),"",OFFSET(TH!I$1,SMALL(Dong,ROWS($1:50)),))</f>
        <v/>
      </c>
      <c r="F60" s="223" t="str">
        <f ca="1">IF(ROWS($1:50)&gt;COUNT(Dong),"",OFFSET(TH!J$1,SMALL(Dong,ROWS($1:50)),))</f>
        <v/>
      </c>
      <c r="G60" s="51" t="str">
        <f ca="1">IF(ROWS($1:50)&gt;COUNT(Dong),"",IF(OFFSET(TH!O$1,SMALL(Dong,ROWS($1:50)),)="331",OFFSET(TH!M$1,SMALL(Dong,ROWS($1:50)),),0))</f>
        <v/>
      </c>
      <c r="H60" s="51" t="str">
        <f ca="1">IF(ROWS($1:50)&gt;COUNT(Dong),"",IF(OFFSET(TH!N$1,SMALL(Dong,ROWS($1:50)),)="331",OFFSET(TH!M$1,SMALL(Dong,ROWS($1:50)),),0))</f>
        <v/>
      </c>
      <c r="I60" s="23">
        <f t="shared" ca="1" si="2"/>
        <v>0</v>
      </c>
    </row>
    <row r="61" spans="1:9" s="18" customFormat="1" ht="18" customHeight="1">
      <c r="A61" s="9" t="str">
        <f ca="1">IF(ROWS($1:51)&gt;COUNT(Dong),"",OFFSET(TH!C$1,SMALL(Dong,ROWS($1:51)),))</f>
        <v/>
      </c>
      <c r="B61" s="51" t="str">
        <f ca="1">IF(ROWS($1:51)&gt;COUNT(Dong),"",OFFSET(TH!D$1,SMALL(Dong,ROWS($1:51)),))</f>
        <v/>
      </c>
      <c r="C61" s="9" t="str">
        <f ca="1">IF(ROWS($1:51)&gt;COUNT(Dong),"",OFFSET(TH!E$1,SMALL(Dong,ROWS($1:51)),))</f>
        <v/>
      </c>
      <c r="D61" s="163" t="str">
        <f ca="1">IF(ROWS($1:51)&gt;COUNT(Dong),"",OFFSET(TH!F$1,SMALL(Dong,ROWS($1:51)),))</f>
        <v/>
      </c>
      <c r="E61" s="223" t="str">
        <f ca="1">IF(ROWS($1:51)&gt;COUNT(Dong),"",OFFSET(TH!I$1,SMALL(Dong,ROWS($1:51)),))</f>
        <v/>
      </c>
      <c r="F61" s="223" t="str">
        <f ca="1">IF(ROWS($1:51)&gt;COUNT(Dong),"",OFFSET(TH!J$1,SMALL(Dong,ROWS($1:51)),))</f>
        <v/>
      </c>
      <c r="G61" s="51" t="str">
        <f ca="1">IF(ROWS($1:51)&gt;COUNT(Dong),"",IF(OFFSET(TH!O$1,SMALL(Dong,ROWS($1:51)),)="331",OFFSET(TH!M$1,SMALL(Dong,ROWS($1:51)),),0))</f>
        <v/>
      </c>
      <c r="H61" s="51" t="str">
        <f ca="1">IF(ROWS($1:51)&gt;COUNT(Dong),"",IF(OFFSET(TH!N$1,SMALL(Dong,ROWS($1:51)),)="331",OFFSET(TH!M$1,SMALL(Dong,ROWS($1:51)),),0))</f>
        <v/>
      </c>
      <c r="I61" s="23">
        <f t="shared" ca="1" si="2"/>
        <v>0</v>
      </c>
    </row>
    <row r="62" spans="1:9" s="18" customFormat="1" ht="18" customHeight="1">
      <c r="A62" s="9" t="str">
        <f ca="1">IF(ROWS($1:52)&gt;COUNT(Dong),"",OFFSET(TH!C$1,SMALL(Dong,ROWS($1:52)),))</f>
        <v/>
      </c>
      <c r="B62" s="51" t="str">
        <f ca="1">IF(ROWS($1:52)&gt;COUNT(Dong),"",OFFSET(TH!D$1,SMALL(Dong,ROWS($1:52)),))</f>
        <v/>
      </c>
      <c r="C62" s="9" t="str">
        <f ca="1">IF(ROWS($1:52)&gt;COUNT(Dong),"",OFFSET(TH!E$1,SMALL(Dong,ROWS($1:52)),))</f>
        <v/>
      </c>
      <c r="D62" s="163" t="str">
        <f ca="1">IF(ROWS($1:52)&gt;COUNT(Dong),"",OFFSET(TH!F$1,SMALL(Dong,ROWS($1:52)),))</f>
        <v/>
      </c>
      <c r="E62" s="223" t="str">
        <f ca="1">IF(ROWS($1:52)&gt;COUNT(Dong),"",OFFSET(TH!I$1,SMALL(Dong,ROWS($1:52)),))</f>
        <v/>
      </c>
      <c r="F62" s="223" t="str">
        <f ca="1">IF(ROWS($1:52)&gt;COUNT(Dong),"",OFFSET(TH!J$1,SMALL(Dong,ROWS($1:52)),))</f>
        <v/>
      </c>
      <c r="G62" s="51" t="str">
        <f ca="1">IF(ROWS($1:52)&gt;COUNT(Dong),"",IF(OFFSET(TH!O$1,SMALL(Dong,ROWS($1:52)),)="331",OFFSET(TH!M$1,SMALL(Dong,ROWS($1:52)),),0))</f>
        <v/>
      </c>
      <c r="H62" s="51" t="str">
        <f ca="1">IF(ROWS($1:52)&gt;COUNT(Dong),"",IF(OFFSET(TH!N$1,SMALL(Dong,ROWS($1:52)),)="331",OFFSET(TH!M$1,SMALL(Dong,ROWS($1:52)),),0))</f>
        <v/>
      </c>
      <c r="I62" s="23">
        <f t="shared" ca="1" si="2"/>
        <v>0</v>
      </c>
    </row>
    <row r="63" spans="1:9" s="18" customFormat="1" ht="18" customHeight="1">
      <c r="A63" s="9" t="str">
        <f ca="1">IF(ROWS($1:53)&gt;COUNT(Dong),"",OFFSET(TH!C$1,SMALL(Dong,ROWS($1:53)),))</f>
        <v/>
      </c>
      <c r="B63" s="51" t="str">
        <f ca="1">IF(ROWS($1:53)&gt;COUNT(Dong),"",OFFSET(TH!D$1,SMALL(Dong,ROWS($1:53)),))</f>
        <v/>
      </c>
      <c r="C63" s="9" t="str">
        <f ca="1">IF(ROWS($1:53)&gt;COUNT(Dong),"",OFFSET(TH!E$1,SMALL(Dong,ROWS($1:53)),))</f>
        <v/>
      </c>
      <c r="D63" s="163" t="str">
        <f ca="1">IF(ROWS($1:53)&gt;COUNT(Dong),"",OFFSET(TH!F$1,SMALL(Dong,ROWS($1:53)),))</f>
        <v/>
      </c>
      <c r="E63" s="223" t="str">
        <f ca="1">IF(ROWS($1:53)&gt;COUNT(Dong),"",OFFSET(TH!I$1,SMALL(Dong,ROWS($1:53)),))</f>
        <v/>
      </c>
      <c r="F63" s="223" t="str">
        <f ca="1">IF(ROWS($1:53)&gt;COUNT(Dong),"",OFFSET(TH!J$1,SMALL(Dong,ROWS($1:53)),))</f>
        <v/>
      </c>
      <c r="G63" s="51" t="str">
        <f ca="1">IF(ROWS($1:53)&gt;COUNT(Dong),"",IF(OFFSET(TH!O$1,SMALL(Dong,ROWS($1:53)),)="331",OFFSET(TH!M$1,SMALL(Dong,ROWS($1:53)),),0))</f>
        <v/>
      </c>
      <c r="H63" s="51" t="str">
        <f ca="1">IF(ROWS($1:53)&gt;COUNT(Dong),"",IF(OFFSET(TH!N$1,SMALL(Dong,ROWS($1:53)),)="331",OFFSET(TH!M$1,SMALL(Dong,ROWS($1:53)),),0))</f>
        <v/>
      </c>
      <c r="I63" s="23">
        <f t="shared" ca="1" si="2"/>
        <v>0</v>
      </c>
    </row>
    <row r="64" spans="1:9" s="18" customFormat="1" ht="18" customHeight="1">
      <c r="A64" s="9" t="str">
        <f ca="1">IF(ROWS($1:54)&gt;COUNT(Dong),"",OFFSET(TH!C$1,SMALL(Dong,ROWS($1:54)),))</f>
        <v/>
      </c>
      <c r="B64" s="51" t="str">
        <f ca="1">IF(ROWS($1:54)&gt;COUNT(Dong),"",OFFSET(TH!D$1,SMALL(Dong,ROWS($1:54)),))</f>
        <v/>
      </c>
      <c r="C64" s="9" t="str">
        <f ca="1">IF(ROWS($1:54)&gt;COUNT(Dong),"",OFFSET(TH!E$1,SMALL(Dong,ROWS($1:54)),))</f>
        <v/>
      </c>
      <c r="D64" s="163" t="str">
        <f ca="1">IF(ROWS($1:54)&gt;COUNT(Dong),"",OFFSET(TH!F$1,SMALL(Dong,ROWS($1:54)),))</f>
        <v/>
      </c>
      <c r="E64" s="223" t="str">
        <f ca="1">IF(ROWS($1:54)&gt;COUNT(Dong),"",OFFSET(TH!I$1,SMALL(Dong,ROWS($1:54)),))</f>
        <v/>
      </c>
      <c r="F64" s="223" t="str">
        <f ca="1">IF(ROWS($1:54)&gt;COUNT(Dong),"",OFFSET(TH!J$1,SMALL(Dong,ROWS($1:54)),))</f>
        <v/>
      </c>
      <c r="G64" s="51" t="str">
        <f ca="1">IF(ROWS($1:54)&gt;COUNT(Dong),"",IF(OFFSET(TH!O$1,SMALL(Dong,ROWS($1:54)),)="331",OFFSET(TH!M$1,SMALL(Dong,ROWS($1:54)),),0))</f>
        <v/>
      </c>
      <c r="H64" s="51" t="str">
        <f ca="1">IF(ROWS($1:54)&gt;COUNT(Dong),"",IF(OFFSET(TH!N$1,SMALL(Dong,ROWS($1:54)),)="331",OFFSET(TH!M$1,SMALL(Dong,ROWS($1:54)),),0))</f>
        <v/>
      </c>
      <c r="I64" s="23">
        <f t="shared" ca="1" si="2"/>
        <v>0</v>
      </c>
    </row>
    <row r="65" spans="1:10" s="18" customFormat="1" ht="18" customHeight="1">
      <c r="A65" s="9" t="str">
        <f ca="1">IF(ROWS($1:55)&gt;COUNT(Dong),"",OFFSET(TH!C$1,SMALL(Dong,ROWS($1:55)),))</f>
        <v/>
      </c>
      <c r="B65" s="51" t="str">
        <f ca="1">IF(ROWS($1:55)&gt;COUNT(Dong),"",OFFSET(TH!D$1,SMALL(Dong,ROWS($1:55)),))</f>
        <v/>
      </c>
      <c r="C65" s="9" t="str">
        <f ca="1">IF(ROWS($1:55)&gt;COUNT(Dong),"",OFFSET(TH!E$1,SMALL(Dong,ROWS($1:55)),))</f>
        <v/>
      </c>
      <c r="D65" s="163" t="str">
        <f ca="1">IF(ROWS($1:55)&gt;COUNT(Dong),"",OFFSET(TH!F$1,SMALL(Dong,ROWS($1:55)),))</f>
        <v/>
      </c>
      <c r="E65" s="223" t="str">
        <f ca="1">IF(ROWS($1:55)&gt;COUNT(Dong),"",OFFSET(TH!I$1,SMALL(Dong,ROWS($1:55)),))</f>
        <v/>
      </c>
      <c r="F65" s="223" t="str">
        <f ca="1">IF(ROWS($1:55)&gt;COUNT(Dong),"",OFFSET(TH!J$1,SMALL(Dong,ROWS($1:55)),))</f>
        <v/>
      </c>
      <c r="G65" s="51" t="str">
        <f ca="1">IF(ROWS($1:55)&gt;COUNT(Dong),"",IF(OFFSET(TH!O$1,SMALL(Dong,ROWS($1:55)),)="331",OFFSET(TH!M$1,SMALL(Dong,ROWS($1:55)),),0))</f>
        <v/>
      </c>
      <c r="H65" s="51" t="str">
        <f ca="1">IF(ROWS($1:55)&gt;COUNT(Dong),"",IF(OFFSET(TH!N$1,SMALL(Dong,ROWS($1:55)),)="331",OFFSET(TH!M$1,SMALL(Dong,ROWS($1:55)),),0))</f>
        <v/>
      </c>
      <c r="I65" s="23">
        <f t="shared" ca="1" si="2"/>
        <v>0</v>
      </c>
    </row>
    <row r="66" spans="1:10" s="18" customFormat="1" ht="18" customHeight="1">
      <c r="A66" s="9" t="str">
        <f ca="1">IF(ROWS($1:56)&gt;COUNT(Dong),"",OFFSET(TH!C$1,SMALL(Dong,ROWS($1:56)),))</f>
        <v/>
      </c>
      <c r="B66" s="51" t="str">
        <f ca="1">IF(ROWS($1:56)&gt;COUNT(Dong),"",OFFSET(TH!D$1,SMALL(Dong,ROWS($1:56)),))</f>
        <v/>
      </c>
      <c r="C66" s="9" t="str">
        <f ca="1">IF(ROWS($1:56)&gt;COUNT(Dong),"",OFFSET(TH!E$1,SMALL(Dong,ROWS($1:56)),))</f>
        <v/>
      </c>
      <c r="D66" s="163" t="str">
        <f ca="1">IF(ROWS($1:56)&gt;COUNT(Dong),"",OFFSET(TH!F$1,SMALL(Dong,ROWS($1:56)),))</f>
        <v/>
      </c>
      <c r="E66" s="223" t="str">
        <f ca="1">IF(ROWS($1:56)&gt;COUNT(Dong),"",OFFSET(TH!I$1,SMALL(Dong,ROWS($1:56)),))</f>
        <v/>
      </c>
      <c r="F66" s="223" t="str">
        <f ca="1">IF(ROWS($1:56)&gt;COUNT(Dong),"",OFFSET(TH!J$1,SMALL(Dong,ROWS($1:56)),))</f>
        <v/>
      </c>
      <c r="G66" s="51" t="str">
        <f ca="1">IF(ROWS($1:56)&gt;COUNT(Dong),"",IF(OFFSET(TH!O$1,SMALL(Dong,ROWS($1:56)),)="331",OFFSET(TH!M$1,SMALL(Dong,ROWS($1:56)),),0))</f>
        <v/>
      </c>
      <c r="H66" s="51" t="str">
        <f ca="1">IF(ROWS($1:56)&gt;COUNT(Dong),"",IF(OFFSET(TH!N$1,SMALL(Dong,ROWS($1:56)),)="331",OFFSET(TH!M$1,SMALL(Dong,ROWS($1:56)),),0))</f>
        <v/>
      </c>
      <c r="I66" s="23">
        <f t="shared" ca="1" si="2"/>
        <v>0</v>
      </c>
    </row>
    <row r="67" spans="1:10" s="18" customFormat="1" ht="18" customHeight="1">
      <c r="A67" s="9" t="str">
        <f ca="1">IF(ROWS($1:57)&gt;COUNT(Dong),"",OFFSET(TH!C$1,SMALL(Dong,ROWS($1:57)),))</f>
        <v/>
      </c>
      <c r="B67" s="51" t="str">
        <f ca="1">IF(ROWS($1:57)&gt;COUNT(Dong),"",OFFSET(TH!D$1,SMALL(Dong,ROWS($1:57)),))</f>
        <v/>
      </c>
      <c r="C67" s="9" t="str">
        <f ca="1">IF(ROWS($1:57)&gt;COUNT(Dong),"",OFFSET(TH!E$1,SMALL(Dong,ROWS($1:57)),))</f>
        <v/>
      </c>
      <c r="D67" s="163" t="str">
        <f ca="1">IF(ROWS($1:57)&gt;COUNT(Dong),"",OFFSET(TH!F$1,SMALL(Dong,ROWS($1:57)),))</f>
        <v/>
      </c>
      <c r="E67" s="223" t="str">
        <f ca="1">IF(ROWS($1:57)&gt;COUNT(Dong),"",OFFSET(TH!I$1,SMALL(Dong,ROWS($1:57)),))</f>
        <v/>
      </c>
      <c r="F67" s="223" t="str">
        <f ca="1">IF(ROWS($1:57)&gt;COUNT(Dong),"",OFFSET(TH!J$1,SMALL(Dong,ROWS($1:57)),))</f>
        <v/>
      </c>
      <c r="G67" s="51" t="str">
        <f ca="1">IF(ROWS($1:57)&gt;COUNT(Dong),"",IF(OFFSET(TH!O$1,SMALL(Dong,ROWS($1:57)),)="331",OFFSET(TH!M$1,SMALL(Dong,ROWS($1:57)),),0))</f>
        <v/>
      </c>
      <c r="H67" s="51" t="str">
        <f ca="1">IF(ROWS($1:57)&gt;COUNT(Dong),"",IF(OFFSET(TH!N$1,SMALL(Dong,ROWS($1:57)),)="331",OFFSET(TH!M$1,SMALL(Dong,ROWS($1:57)),),0))</f>
        <v/>
      </c>
      <c r="I67" s="23">
        <f t="shared" ca="1" si="2"/>
        <v>0</v>
      </c>
    </row>
    <row r="68" spans="1:10" s="18" customFormat="1" ht="18" customHeight="1">
      <c r="A68" s="9" t="str">
        <f ca="1">IF(ROWS($1:58)&gt;COUNT(Dong),"",OFFSET(TH!C$1,SMALL(Dong,ROWS($1:58)),))</f>
        <v/>
      </c>
      <c r="B68" s="51" t="str">
        <f ca="1">IF(ROWS($1:58)&gt;COUNT(Dong),"",OFFSET(TH!D$1,SMALL(Dong,ROWS($1:58)),))</f>
        <v/>
      </c>
      <c r="C68" s="9" t="str">
        <f ca="1">IF(ROWS($1:58)&gt;COUNT(Dong),"",OFFSET(TH!E$1,SMALL(Dong,ROWS($1:58)),))</f>
        <v/>
      </c>
      <c r="D68" s="163" t="str">
        <f ca="1">IF(ROWS($1:58)&gt;COUNT(Dong),"",OFFSET(TH!F$1,SMALL(Dong,ROWS($1:58)),))</f>
        <v/>
      </c>
      <c r="E68" s="223" t="str">
        <f ca="1">IF(ROWS($1:58)&gt;COUNT(Dong),"",OFFSET(TH!I$1,SMALL(Dong,ROWS($1:58)),))</f>
        <v/>
      </c>
      <c r="F68" s="223" t="str">
        <f ca="1">IF(ROWS($1:58)&gt;COUNT(Dong),"",OFFSET(TH!J$1,SMALL(Dong,ROWS($1:58)),))</f>
        <v/>
      </c>
      <c r="G68" s="51" t="str">
        <f ca="1">IF(ROWS($1:58)&gt;COUNT(Dong),"",IF(OFFSET(TH!O$1,SMALL(Dong,ROWS($1:58)),)="331",OFFSET(TH!M$1,SMALL(Dong,ROWS($1:58)),),0))</f>
        <v/>
      </c>
      <c r="H68" s="51" t="str">
        <f ca="1">IF(ROWS($1:58)&gt;COUNT(Dong),"",IF(OFFSET(TH!N$1,SMALL(Dong,ROWS($1:58)),)="331",OFFSET(TH!M$1,SMALL(Dong,ROWS($1:58)),),0))</f>
        <v/>
      </c>
      <c r="I68" s="23">
        <f t="shared" ca="1" si="2"/>
        <v>0</v>
      </c>
    </row>
    <row r="69" spans="1:10" s="18" customFormat="1" ht="18" customHeight="1">
      <c r="A69" s="9" t="str">
        <f ca="1">IF(ROWS($1:59)&gt;COUNT(Dong),"",OFFSET(TH!C$1,SMALL(Dong,ROWS($1:59)),))</f>
        <v/>
      </c>
      <c r="B69" s="51" t="str">
        <f ca="1">IF(ROWS($1:59)&gt;COUNT(Dong),"",OFFSET(TH!D$1,SMALL(Dong,ROWS($1:59)),))</f>
        <v/>
      </c>
      <c r="C69" s="9" t="str">
        <f ca="1">IF(ROWS($1:59)&gt;COUNT(Dong),"",OFFSET(TH!E$1,SMALL(Dong,ROWS($1:59)),))</f>
        <v/>
      </c>
      <c r="D69" s="163" t="str">
        <f ca="1">IF(ROWS($1:59)&gt;COUNT(Dong),"",OFFSET(TH!F$1,SMALL(Dong,ROWS($1:59)),))</f>
        <v/>
      </c>
      <c r="E69" s="223" t="str">
        <f ca="1">IF(ROWS($1:59)&gt;COUNT(Dong),"",OFFSET(TH!I$1,SMALL(Dong,ROWS($1:59)),))</f>
        <v/>
      </c>
      <c r="F69" s="223" t="str">
        <f ca="1">IF(ROWS($1:59)&gt;COUNT(Dong),"",OFFSET(TH!J$1,SMALL(Dong,ROWS($1:59)),))</f>
        <v/>
      </c>
      <c r="G69" s="51" t="str">
        <f ca="1">IF(ROWS($1:59)&gt;COUNT(Dong),"",IF(OFFSET(TH!O$1,SMALL(Dong,ROWS($1:59)),)="331",OFFSET(TH!M$1,SMALL(Dong,ROWS($1:59)),),0))</f>
        <v/>
      </c>
      <c r="H69" s="51" t="str">
        <f ca="1">IF(ROWS($1:59)&gt;COUNT(Dong),"",IF(OFFSET(TH!N$1,SMALL(Dong,ROWS($1:59)),)="331",OFFSET(TH!M$1,SMALL(Dong,ROWS($1:59)),),0))</f>
        <v/>
      </c>
      <c r="I69" s="23">
        <f t="shared" ca="1" si="2"/>
        <v>0</v>
      </c>
    </row>
    <row r="70" spans="1:10" s="18" customFormat="1" ht="18" customHeight="1">
      <c r="A70" s="9" t="str">
        <f ca="1">IF(ROWS($1:60)&gt;COUNT(Dong),"",OFFSET(TH!C$1,SMALL(Dong,ROWS($1:60)),))</f>
        <v/>
      </c>
      <c r="B70" s="51" t="str">
        <f ca="1">IF(ROWS($1:60)&gt;COUNT(Dong),"",OFFSET(TH!D$1,SMALL(Dong,ROWS($1:60)),))</f>
        <v/>
      </c>
      <c r="C70" s="9" t="str">
        <f ca="1">IF(ROWS($1:60)&gt;COUNT(Dong),"",OFFSET(TH!E$1,SMALL(Dong,ROWS($1:60)),))</f>
        <v/>
      </c>
      <c r="D70" s="163" t="str">
        <f ca="1">IF(ROWS($1:60)&gt;COUNT(Dong),"",OFFSET(TH!F$1,SMALL(Dong,ROWS($1:60)),))</f>
        <v/>
      </c>
      <c r="E70" s="223" t="str">
        <f ca="1">IF(ROWS($1:60)&gt;COUNT(Dong),"",OFFSET(TH!I$1,SMALL(Dong,ROWS($1:60)),))</f>
        <v/>
      </c>
      <c r="F70" s="223" t="str">
        <f ca="1">IF(ROWS($1:60)&gt;COUNT(Dong),"",OFFSET(TH!J$1,SMALL(Dong,ROWS($1:60)),))</f>
        <v/>
      </c>
      <c r="G70" s="51" t="str">
        <f ca="1">IF(ROWS($1:60)&gt;COUNT(Dong),"",IF(OFFSET(TH!O$1,SMALL(Dong,ROWS($1:60)),)="331",OFFSET(TH!M$1,SMALL(Dong,ROWS($1:60)),),0))</f>
        <v/>
      </c>
      <c r="H70" s="51" t="str">
        <f ca="1">IF(ROWS($1:60)&gt;COUNT(Dong),"",IF(OFFSET(TH!N$1,SMALL(Dong,ROWS($1:60)),)="331",OFFSET(TH!M$1,SMALL(Dong,ROWS($1:60)),),0))</f>
        <v/>
      </c>
      <c r="I70" s="23">
        <f t="shared" ca="1" si="2"/>
        <v>0</v>
      </c>
    </row>
    <row r="71" spans="1:10" s="18" customFormat="1" ht="18" customHeight="1">
      <c r="A71" s="9" t="str">
        <f ca="1">IF(ROWS($1:61)&gt;COUNT(Dong),"",OFFSET(TH!C$1,SMALL(Dong,ROWS($1:61)),))</f>
        <v/>
      </c>
      <c r="B71" s="51" t="str">
        <f ca="1">IF(ROWS($1:61)&gt;COUNT(Dong),"",OFFSET(TH!D$1,SMALL(Dong,ROWS($1:61)),))</f>
        <v/>
      </c>
      <c r="C71" s="9" t="str">
        <f ca="1">IF(ROWS($1:61)&gt;COUNT(Dong),"",OFFSET(TH!E$1,SMALL(Dong,ROWS($1:61)),))</f>
        <v/>
      </c>
      <c r="D71" s="163" t="str">
        <f ca="1">IF(ROWS($1:61)&gt;COUNT(Dong),"",OFFSET(TH!F$1,SMALL(Dong,ROWS($1:61)),))</f>
        <v/>
      </c>
      <c r="E71" s="223" t="str">
        <f ca="1">IF(ROWS($1:61)&gt;COUNT(Dong),"",OFFSET(TH!I$1,SMALL(Dong,ROWS($1:61)),))</f>
        <v/>
      </c>
      <c r="F71" s="223" t="str">
        <f ca="1">IF(ROWS($1:61)&gt;COUNT(Dong),"",OFFSET(TH!J$1,SMALL(Dong,ROWS($1:61)),))</f>
        <v/>
      </c>
      <c r="G71" s="51" t="str">
        <f ca="1">IF(ROWS($1:61)&gt;COUNT(Dong),"",IF(OFFSET(TH!O$1,SMALL(Dong,ROWS($1:61)),)="331",OFFSET(TH!M$1,SMALL(Dong,ROWS($1:61)),),0))</f>
        <v/>
      </c>
      <c r="H71" s="51" t="str">
        <f ca="1">IF(ROWS($1:61)&gt;COUNT(Dong),"",IF(OFFSET(TH!N$1,SMALL(Dong,ROWS($1:61)),)="331",OFFSET(TH!M$1,SMALL(Dong,ROWS($1:61)),),0))</f>
        <v/>
      </c>
      <c r="I71" s="23">
        <f t="shared" ca="1" si="2"/>
        <v>0</v>
      </c>
    </row>
    <row r="72" spans="1:10" s="18" customFormat="1" ht="18" customHeight="1">
      <c r="A72" s="9" t="str">
        <f ca="1">IF(ROWS($1:62)&gt;COUNT(Dong),"",OFFSET(TH!C$1,SMALL(Dong,ROWS($1:62)),))</f>
        <v/>
      </c>
      <c r="B72" s="51" t="str">
        <f ca="1">IF(ROWS($1:62)&gt;COUNT(Dong),"",OFFSET(TH!D$1,SMALL(Dong,ROWS($1:62)),))</f>
        <v/>
      </c>
      <c r="C72" s="9" t="str">
        <f ca="1">IF(ROWS($1:62)&gt;COUNT(Dong),"",OFFSET(TH!E$1,SMALL(Dong,ROWS($1:62)),))</f>
        <v/>
      </c>
      <c r="D72" s="163" t="str">
        <f ca="1">IF(ROWS($1:62)&gt;COUNT(Dong),"",OFFSET(TH!F$1,SMALL(Dong,ROWS($1:62)),))</f>
        <v/>
      </c>
      <c r="E72" s="223" t="str">
        <f ca="1">IF(ROWS($1:62)&gt;COUNT(Dong),"",OFFSET(TH!I$1,SMALL(Dong,ROWS($1:62)),))</f>
        <v/>
      </c>
      <c r="F72" s="223" t="str">
        <f ca="1">IF(ROWS($1:62)&gt;COUNT(Dong),"",OFFSET(TH!J$1,SMALL(Dong,ROWS($1:62)),))</f>
        <v/>
      </c>
      <c r="G72" s="51" t="str">
        <f ca="1">IF(ROWS($1:62)&gt;COUNT(Dong),"",IF(OFFSET(TH!O$1,SMALL(Dong,ROWS($1:62)),)="331",OFFSET(TH!M$1,SMALL(Dong,ROWS($1:62)),),0))</f>
        <v/>
      </c>
      <c r="H72" s="51" t="str">
        <f ca="1">IF(ROWS($1:62)&gt;COUNT(Dong),"",IF(OFFSET(TH!N$1,SMALL(Dong,ROWS($1:62)),)="331",OFFSET(TH!M$1,SMALL(Dong,ROWS($1:62)),),0))</f>
        <v/>
      </c>
      <c r="I72" s="23">
        <f t="shared" ca="1" si="2"/>
        <v>0</v>
      </c>
    </row>
    <row r="73" spans="1:10" s="18" customFormat="1" ht="18" customHeight="1">
      <c r="A73" s="9" t="str">
        <f ca="1">IF(ROWS($1:63)&gt;COUNT(Dong),"",OFFSET(TH!C$1,SMALL(Dong,ROWS($1:63)),))</f>
        <v/>
      </c>
      <c r="B73" s="51" t="str">
        <f ca="1">IF(ROWS($1:63)&gt;COUNT(Dong),"",OFFSET(TH!D$1,SMALL(Dong,ROWS($1:63)),))</f>
        <v/>
      </c>
      <c r="C73" s="9" t="str">
        <f ca="1">IF(ROWS($1:63)&gt;COUNT(Dong),"",OFFSET(TH!E$1,SMALL(Dong,ROWS($1:63)),))</f>
        <v/>
      </c>
      <c r="D73" s="163" t="str">
        <f ca="1">IF(ROWS($1:63)&gt;COUNT(Dong),"",OFFSET(TH!F$1,SMALL(Dong,ROWS($1:63)),))</f>
        <v/>
      </c>
      <c r="E73" s="223" t="str">
        <f ca="1">IF(ROWS($1:63)&gt;COUNT(Dong),"",OFFSET(TH!I$1,SMALL(Dong,ROWS($1:63)),))</f>
        <v/>
      </c>
      <c r="F73" s="223" t="str">
        <f ca="1">IF(ROWS($1:63)&gt;COUNT(Dong),"",OFFSET(TH!J$1,SMALL(Dong,ROWS($1:63)),))</f>
        <v/>
      </c>
      <c r="G73" s="51" t="str">
        <f ca="1">IF(ROWS($1:63)&gt;COUNT(Dong),"",IF(OFFSET(TH!O$1,SMALL(Dong,ROWS($1:63)),)="331",OFFSET(TH!M$1,SMALL(Dong,ROWS($1:63)),),0))</f>
        <v/>
      </c>
      <c r="H73" s="51" t="str">
        <f ca="1">IF(ROWS($1:63)&gt;COUNT(Dong),"",IF(OFFSET(TH!N$1,SMALL(Dong,ROWS($1:63)),)="331",OFFSET(TH!M$1,SMALL(Dong,ROWS($1:63)),),0))</f>
        <v/>
      </c>
      <c r="I73" s="23">
        <f t="shared" ca="1" si="2"/>
        <v>0</v>
      </c>
    </row>
    <row r="74" spans="1:10" s="18" customFormat="1" ht="18" customHeight="1">
      <c r="A74" s="9" t="str">
        <f ca="1">IF(ROWS($1:64)&gt;COUNT(Dong),"",OFFSET(TH!C$1,SMALL(Dong,ROWS($1:64)),))</f>
        <v/>
      </c>
      <c r="B74" s="51" t="str">
        <f ca="1">IF(ROWS($1:64)&gt;COUNT(Dong),"",OFFSET(TH!D$1,SMALL(Dong,ROWS($1:64)),))</f>
        <v/>
      </c>
      <c r="C74" s="9" t="str">
        <f ca="1">IF(ROWS($1:64)&gt;COUNT(Dong),"",OFFSET(TH!E$1,SMALL(Dong,ROWS($1:64)),))</f>
        <v/>
      </c>
      <c r="D74" s="163" t="str">
        <f ca="1">IF(ROWS($1:64)&gt;COUNT(Dong),"",OFFSET(TH!F$1,SMALL(Dong,ROWS($1:64)),))</f>
        <v/>
      </c>
      <c r="E74" s="223" t="str">
        <f ca="1">IF(ROWS($1:64)&gt;COUNT(Dong),"",OFFSET(TH!I$1,SMALL(Dong,ROWS($1:64)),))</f>
        <v/>
      </c>
      <c r="F74" s="223" t="str">
        <f ca="1">IF(ROWS($1:64)&gt;COUNT(Dong),"",OFFSET(TH!J$1,SMALL(Dong,ROWS($1:64)),))</f>
        <v/>
      </c>
      <c r="G74" s="51" t="str">
        <f ca="1">IF(ROWS($1:64)&gt;COUNT(Dong),"",IF(OFFSET(TH!O$1,SMALL(Dong,ROWS($1:64)),)="331",OFFSET(TH!M$1,SMALL(Dong,ROWS($1:64)),),0))</f>
        <v/>
      </c>
      <c r="H74" s="51" t="str">
        <f ca="1">IF(ROWS($1:64)&gt;COUNT(Dong),"",IF(OFFSET(TH!N$1,SMALL(Dong,ROWS($1:64)),)="331",OFFSET(TH!M$1,SMALL(Dong,ROWS($1:64)),),0))</f>
        <v/>
      </c>
      <c r="I74" s="23">
        <f t="shared" ca="1" si="2"/>
        <v>0</v>
      </c>
    </row>
    <row r="75" spans="1:10" s="18" customFormat="1" ht="18" customHeight="1">
      <c r="A75" s="9" t="str">
        <f ca="1">IF(ROWS($1:65)&gt;COUNT(Dong),"",OFFSET(TH!C$1,SMALL(Dong,ROWS($1:65)),))</f>
        <v/>
      </c>
      <c r="B75" s="51" t="str">
        <f ca="1">IF(ROWS($1:65)&gt;COUNT(Dong),"",OFFSET(TH!D$1,SMALL(Dong,ROWS($1:65)),))</f>
        <v/>
      </c>
      <c r="C75" s="9" t="str">
        <f ca="1">IF(ROWS($1:65)&gt;COUNT(Dong),"",OFFSET(TH!E$1,SMALL(Dong,ROWS($1:65)),))</f>
        <v/>
      </c>
      <c r="D75" s="163" t="str">
        <f ca="1">IF(ROWS($1:65)&gt;COUNT(Dong),"",OFFSET(TH!F$1,SMALL(Dong,ROWS($1:65)),))</f>
        <v/>
      </c>
      <c r="E75" s="223" t="str">
        <f ca="1">IF(ROWS($1:65)&gt;COUNT(Dong),"",OFFSET(TH!I$1,SMALL(Dong,ROWS($1:65)),))</f>
        <v/>
      </c>
      <c r="F75" s="223" t="str">
        <f ca="1">IF(ROWS($1:65)&gt;COUNT(Dong),"",OFFSET(TH!J$1,SMALL(Dong,ROWS($1:65)),))</f>
        <v/>
      </c>
      <c r="G75" s="51" t="str">
        <f ca="1">IF(ROWS($1:65)&gt;COUNT(Dong),"",IF(OFFSET(TH!O$1,SMALL(Dong,ROWS($1:65)),)="331",OFFSET(TH!M$1,SMALL(Dong,ROWS($1:65)),),0))</f>
        <v/>
      </c>
      <c r="H75" s="51" t="str">
        <f ca="1">IF(ROWS($1:65)&gt;COUNT(Dong),"",IF(OFFSET(TH!N$1,SMALL(Dong,ROWS($1:65)),)="331",OFFSET(TH!M$1,SMALL(Dong,ROWS($1:65)),),0))</f>
        <v/>
      </c>
      <c r="I75" s="23">
        <f t="shared" ca="1" si="2"/>
        <v>0</v>
      </c>
    </row>
    <row r="76" spans="1:10" s="18" customFormat="1" ht="18" customHeight="1">
      <c r="A76" s="9"/>
      <c r="B76" s="51"/>
      <c r="C76" s="9"/>
      <c r="D76" s="44"/>
      <c r="E76" s="45"/>
      <c r="F76" s="45"/>
      <c r="G76" s="51"/>
      <c r="H76" s="51"/>
      <c r="I76" s="23"/>
    </row>
    <row r="77" spans="1:10" s="18" customFormat="1" ht="18" customHeight="1">
      <c r="A77" s="22"/>
      <c r="B77" s="25"/>
      <c r="C77" s="24"/>
      <c r="D77" s="21" t="s">
        <v>23</v>
      </c>
      <c r="E77" s="20" t="s">
        <v>15</v>
      </c>
      <c r="F77" s="20" t="s">
        <v>15</v>
      </c>
      <c r="G77" s="25">
        <f ca="1">SUM(G11:G76)</f>
        <v>466158000</v>
      </c>
      <c r="H77" s="25">
        <f ca="1">SUM(H11:H76)</f>
        <v>250000000</v>
      </c>
      <c r="I77" s="25" t="s">
        <v>15</v>
      </c>
    </row>
    <row r="78" spans="1:10" s="18" customFormat="1" ht="18" customHeight="1">
      <c r="A78" s="22"/>
      <c r="B78" s="25"/>
      <c r="C78" s="20"/>
      <c r="D78" s="21" t="s">
        <v>9</v>
      </c>
      <c r="E78" s="20" t="s">
        <v>15</v>
      </c>
      <c r="F78" s="20" t="s">
        <v>15</v>
      </c>
      <c r="G78" s="25" t="s">
        <v>15</v>
      </c>
      <c r="H78" s="25" t="s">
        <v>15</v>
      </c>
      <c r="I78" s="25">
        <f ca="1">MAX(I10+G77-H77,0)</f>
        <v>216158000</v>
      </c>
    </row>
    <row r="79" spans="1:10" s="18" customFormat="1" ht="6" customHeight="1">
      <c r="B79" s="217"/>
      <c r="C79" s="19"/>
      <c r="E79" s="19"/>
    </row>
    <row r="80" spans="1:10" s="18" customFormat="1" ht="14.25" customHeight="1">
      <c r="A80" s="26" t="s">
        <v>90</v>
      </c>
      <c r="B80" s="217"/>
      <c r="C80" s="19"/>
      <c r="E80" s="19"/>
      <c r="J80" s="26"/>
    </row>
    <row r="81" spans="1:10" s="18" customFormat="1" ht="14.25" customHeight="1">
      <c r="A81" s="26" t="s">
        <v>87</v>
      </c>
      <c r="B81" s="217"/>
      <c r="C81" s="19"/>
      <c r="E81" s="19"/>
      <c r="J81" s="26"/>
    </row>
    <row r="82" spans="1:10" s="18" customFormat="1" ht="14.25" customHeight="1">
      <c r="B82" s="217"/>
      <c r="C82" s="19"/>
      <c r="E82" s="269" t="s">
        <v>79</v>
      </c>
      <c r="F82" s="269"/>
      <c r="G82" s="269"/>
      <c r="H82" s="269"/>
      <c r="I82" s="269"/>
    </row>
    <row r="83" spans="1:10" s="18" customFormat="1" ht="14.25" customHeight="1">
      <c r="B83" s="216"/>
      <c r="C83" s="159" t="s">
        <v>10</v>
      </c>
      <c r="E83" s="269" t="s">
        <v>11</v>
      </c>
      <c r="F83" s="269"/>
      <c r="G83" s="269"/>
      <c r="H83" s="269"/>
      <c r="I83" s="269"/>
    </row>
    <row r="84" spans="1:10" s="18" customFormat="1" ht="14.25" customHeight="1">
      <c r="B84" s="216"/>
      <c r="C84" s="159" t="s">
        <v>12</v>
      </c>
      <c r="E84" s="269" t="s">
        <v>12</v>
      </c>
      <c r="F84" s="269"/>
      <c r="G84" s="269"/>
      <c r="H84" s="269"/>
      <c r="I84" s="269"/>
    </row>
    <row r="85" spans="1:10" s="27" customFormat="1">
      <c r="B85" s="220"/>
    </row>
    <row r="91" spans="1:10" ht="15">
      <c r="C91" s="162" t="s">
        <v>89</v>
      </c>
    </row>
  </sheetData>
  <autoFilter ref="A9:I22"/>
  <mergeCells count="14">
    <mergeCell ref="E83:I83"/>
    <mergeCell ref="E84:I84"/>
    <mergeCell ref="A7:A8"/>
    <mergeCell ref="H1:I1"/>
    <mergeCell ref="H2:I3"/>
    <mergeCell ref="E82:I82"/>
    <mergeCell ref="C6:I6"/>
    <mergeCell ref="B7:C7"/>
    <mergeCell ref="D7:D8"/>
    <mergeCell ref="A4:I4"/>
    <mergeCell ref="H7:H8"/>
    <mergeCell ref="E7:G7"/>
    <mergeCell ref="I7:I8"/>
    <mergeCell ref="F5:G5"/>
  </mergeCells>
  <dataValidations count="1">
    <dataValidation type="list" allowBlank="1" showInputMessage="1" showErrorMessage="1" sqref="F5">
      <formula1>DSKH</formula1>
    </dataValidation>
  </dataValidations>
  <pageMargins left="0.17" right="0.11" top="0.3" bottom="0.3" header="0.1" footer="0.1"/>
  <pageSetup paperSize="9" scale="90" orientation="portrait" horizontalDpi="300" verticalDpi="300" r:id="rId1"/>
  <headerFooter>
    <oddFooter xml:space="preserve">&amp;R&amp;"Times New Roman,Regular"Trang &amp;P/&amp;N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2" sqref="A12:XFD24"/>
    </sheetView>
  </sheetViews>
  <sheetFormatPr defaultRowHeight="12.75"/>
  <cols>
    <col min="1" max="1" width="25.42578125" style="237" customWidth="1"/>
    <col min="2" max="13" width="9.140625" style="237" customWidth="1"/>
    <col min="14" max="14" width="11.7109375" style="237" customWidth="1"/>
    <col min="15" max="16384" width="9.140625" style="237"/>
  </cols>
  <sheetData>
    <row r="1" spans="1:14" ht="24" customHeight="1">
      <c r="A1" s="303" t="s">
        <v>1645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</row>
    <row r="2" spans="1:14" ht="6" customHeight="1"/>
    <row r="3" spans="1:14" s="239" customFormat="1" ht="29.25" customHeight="1">
      <c r="A3" s="240" t="s">
        <v>1647</v>
      </c>
      <c r="B3" s="238">
        <v>1</v>
      </c>
      <c r="C3" s="238">
        <v>2</v>
      </c>
      <c r="D3" s="238">
        <v>3</v>
      </c>
      <c r="E3" s="238">
        <v>4</v>
      </c>
      <c r="F3" s="238">
        <v>5</v>
      </c>
      <c r="G3" s="238">
        <v>6</v>
      </c>
      <c r="H3" s="238">
        <v>7</v>
      </c>
      <c r="I3" s="238">
        <v>8</v>
      </c>
      <c r="J3" s="238">
        <v>9</v>
      </c>
      <c r="K3" s="238">
        <v>10</v>
      </c>
      <c r="L3" s="238">
        <v>11</v>
      </c>
      <c r="M3" s="238">
        <v>12</v>
      </c>
      <c r="N3" s="238" t="s">
        <v>1646</v>
      </c>
    </row>
    <row r="4" spans="1:14" s="242" customFormat="1" ht="64.5" customHeight="1">
      <c r="A4" s="241" t="s">
        <v>1648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</row>
    <row r="5" spans="1:14" s="242" customFormat="1" ht="64.5" customHeight="1">
      <c r="A5" s="243" t="s">
        <v>1649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</row>
    <row r="6" spans="1:14" s="242" customFormat="1" ht="64.5" customHeight="1">
      <c r="A6" s="243" t="s">
        <v>1650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7" spans="1:14" s="242" customFormat="1" ht="64.5" customHeight="1">
      <c r="A7" s="243" t="s">
        <v>1651</v>
      </c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</row>
    <row r="8" spans="1:14" s="242" customFormat="1" ht="64.5" customHeight="1">
      <c r="A8" s="243" t="s">
        <v>1652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</row>
    <row r="9" spans="1:14" s="242" customFormat="1" ht="64.5" customHeight="1">
      <c r="A9" s="243" t="s">
        <v>1653</v>
      </c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</row>
    <row r="10" spans="1:14" s="242" customFormat="1" ht="64.5" customHeight="1">
      <c r="A10" s="244" t="s">
        <v>1654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</row>
    <row r="11" spans="1:14" s="242" customFormat="1" ht="64.5" customHeight="1">
      <c r="A11" s="243" t="s">
        <v>1655</v>
      </c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11" sqref="B11"/>
    </sheetView>
  </sheetViews>
  <sheetFormatPr defaultRowHeight="12.75"/>
  <cols>
    <col min="1" max="1" width="25.42578125" style="237" customWidth="1"/>
    <col min="2" max="13" width="9.140625" style="237" customWidth="1"/>
    <col min="14" max="14" width="11.7109375" style="237" customWidth="1"/>
    <col min="15" max="16384" width="9.140625" style="237"/>
  </cols>
  <sheetData>
    <row r="1" spans="1:14" ht="24" customHeight="1">
      <c r="A1" s="303" t="s">
        <v>1645</v>
      </c>
      <c r="B1" s="303"/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</row>
    <row r="2" spans="1:14" ht="6" customHeight="1"/>
    <row r="3" spans="1:14" s="239" customFormat="1" ht="29.25" customHeight="1">
      <c r="A3" s="240" t="s">
        <v>1647</v>
      </c>
      <c r="B3" s="238">
        <v>1</v>
      </c>
      <c r="C3" s="238">
        <v>2</v>
      </c>
      <c r="D3" s="238">
        <v>3</v>
      </c>
      <c r="E3" s="238">
        <v>4</v>
      </c>
      <c r="F3" s="238">
        <v>5</v>
      </c>
      <c r="G3" s="238">
        <v>6</v>
      </c>
      <c r="H3" s="238">
        <v>7</v>
      </c>
      <c r="I3" s="238">
        <v>8</v>
      </c>
      <c r="J3" s="238">
        <v>9</v>
      </c>
      <c r="K3" s="238">
        <v>10</v>
      </c>
      <c r="L3" s="238">
        <v>11</v>
      </c>
      <c r="M3" s="238">
        <v>12</v>
      </c>
      <c r="N3" s="238" t="s">
        <v>1646</v>
      </c>
    </row>
    <row r="4" spans="1:14" s="242" customFormat="1" ht="64.5" customHeight="1">
      <c r="A4" s="245" t="s">
        <v>1656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</row>
    <row r="5" spans="1:14" s="242" customFormat="1" ht="64.5" customHeight="1">
      <c r="A5" s="244" t="s">
        <v>1657</v>
      </c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</row>
    <row r="6" spans="1:14" s="242" customFormat="1" ht="64.5" customHeight="1">
      <c r="A6" s="244" t="s">
        <v>1658</v>
      </c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</row>
    <row r="7" spans="1:14" s="242" customFormat="1" ht="64.5" customHeight="1">
      <c r="A7" s="243" t="s">
        <v>1659</v>
      </c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</row>
    <row r="8" spans="1:14" s="242" customFormat="1" ht="64.5" customHeight="1">
      <c r="A8" s="243" t="s">
        <v>1660</v>
      </c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</row>
    <row r="9" spans="1:14" s="242" customFormat="1" ht="64.5" customHeight="1">
      <c r="A9" s="243" t="s">
        <v>1661</v>
      </c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</row>
    <row r="10" spans="1:14" s="242" customFormat="1" ht="64.5" customHeight="1">
      <c r="A10" s="243" t="s">
        <v>1662</v>
      </c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</row>
    <row r="11" spans="1:14" s="242" customFormat="1" ht="64.5" customHeight="1">
      <c r="A11" s="243" t="s">
        <v>1663</v>
      </c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</row>
    <row r="12" spans="1:14" ht="23.25" customHeight="1"/>
    <row r="13" spans="1:14" ht="23.25" customHeight="1"/>
    <row r="14" spans="1:14" ht="23.25" customHeight="1"/>
    <row r="15" spans="1:14" ht="23.25" customHeight="1"/>
    <row r="16" spans="1:14" ht="23.25" customHeight="1"/>
    <row r="17" ht="23.25" customHeight="1"/>
  </sheetData>
  <mergeCells count="1">
    <mergeCell ref="A1:M1"/>
  </mergeCells>
  <pageMargins left="0.16" right="0.13" top="0.28000000000000003" bottom="0.16" header="0.3" footer="0.16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20</vt:i4>
      </vt:variant>
    </vt:vector>
  </HeadingPairs>
  <TitlesOfParts>
    <vt:vector size="28" baseType="lpstr">
      <vt:lpstr>TH</vt:lpstr>
      <vt:lpstr>CTTK</vt:lpstr>
      <vt:lpstr>IN-TC</vt:lpstr>
      <vt:lpstr>111</vt:lpstr>
      <vt:lpstr>331</vt:lpstr>
      <vt:lpstr>331-CT</vt:lpstr>
      <vt:lpstr>Sheet1</vt:lpstr>
      <vt:lpstr>Sheet1 (2)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CTTK!Print_Area</vt:lpstr>
      <vt:lpstr>'IN-TC'!Print_Area</vt:lpstr>
      <vt:lpstr>'111'!Print_Titles</vt:lpstr>
      <vt:lpstr>'331-CT'!Print_Titles</vt:lpstr>
      <vt:lpstr>CTTK!Print_Titles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2016-11-15T03:37:43Z</cp:lastPrinted>
  <dcterms:created xsi:type="dcterms:W3CDTF">1996-10-14T23:33:28Z</dcterms:created>
  <dcterms:modified xsi:type="dcterms:W3CDTF">2016-12-14T03:18:56Z</dcterms:modified>
</cp:coreProperties>
</file>