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080" windowWidth="15105" windowHeight="7755" tabRatio="922" activeTab="8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2" r:id="rId12"/>
    <sheet name="Trung - Tokai" sheetId="64" r:id="rId13"/>
    <sheet name="CP-MỰC" sheetId="84" r:id="rId14"/>
    <sheet name="M.T.NAM" sheetId="76" r:id="rId15"/>
    <sheet name="NGHỊ HÒA" sheetId="75" r:id="rId16"/>
    <sheet name="PHÁT" sheetId="77" r:id="rId17"/>
    <sheet name="T.M.THƯ" sheetId="78" r:id="rId18"/>
    <sheet name="GC - TQ" sheetId="87" r:id="rId19"/>
    <sheet name="TD-TQ" sheetId="90" r:id="rId20"/>
  </sheets>
  <externalReferences>
    <externalReference r:id="rId21"/>
    <externalReference r:id="rId22"/>
    <externalReference r:id="rId23"/>
    <externalReference r:id="rId24"/>
  </externalReferences>
  <definedNames>
    <definedName name="_Fill" localSheetId="8" hidden="1">#REF!</definedName>
    <definedName name="_Fill" localSheetId="7" hidden="1">#REF!</definedName>
    <definedName name="_Fill" localSheetId="18" hidden="1">#REF!</definedName>
    <definedName name="_Fill" localSheetId="9" hidden="1">#REF!</definedName>
    <definedName name="_Fill" hidden="1">#REF!</definedName>
    <definedName name="_xlnm._FilterDatabase" localSheetId="8" hidden="1">AAAS!$A$11:$J$27</definedName>
    <definedName name="_xlnm._FilterDatabase" localSheetId="7" hidden="1">Asia!$A$11:$J$50</definedName>
    <definedName name="_xlnm._FilterDatabase" localSheetId="6" hidden="1">HEADWAY!$A$11:$J$116</definedName>
    <definedName name="_xlnm._FilterDatabase" localSheetId="9" hidden="1">'HOÀNG ANH'!$A$11:$J$33</definedName>
    <definedName name="_xlnm._FilterDatabase" localSheetId="15" hidden="1">'NGHỊ HÒA'!$A$11:$L$112</definedName>
    <definedName name="_xlnm._FilterDatabase" localSheetId="0" hidden="1">'SQTM 15'!$A$11:$H$1815</definedName>
    <definedName name="_xlnm._FilterDatabase" localSheetId="1" hidden="1">'SQTM 16'!$A$11:$H$1823</definedName>
    <definedName name="_xlnm.Print_Area" localSheetId="4">'AN PHÚ'!$A$95:$J$111</definedName>
    <definedName name="_xlnm.Print_Area" localSheetId="2">'TONG HOP'!$A$1:$G$27</definedName>
    <definedName name="_xlnm.Print_Area" localSheetId="12">'Trung - Tokai'!$A$157:$I$166</definedName>
  </definedNames>
  <calcPr calcId="144525"/>
</workbook>
</file>

<file path=xl/calcChain.xml><?xml version="1.0" encoding="utf-8"?>
<calcChain xmlns="http://schemas.openxmlformats.org/spreadsheetml/2006/main">
  <c r="H162" i="64" l="1"/>
  <c r="F162" i="64"/>
  <c r="H161" i="64"/>
  <c r="F161" i="64"/>
  <c r="I161" i="64" s="1"/>
  <c r="I160" i="64"/>
  <c r="H160" i="64"/>
  <c r="F160" i="64"/>
  <c r="H159" i="64"/>
  <c r="I159" i="64" s="1"/>
  <c r="F159" i="64"/>
  <c r="F164" i="64" s="1"/>
  <c r="G17" i="92"/>
  <c r="G15" i="92"/>
  <c r="G13" i="92"/>
  <c r="H33" i="92"/>
  <c r="F33" i="92"/>
  <c r="I32" i="92"/>
  <c r="I31" i="92"/>
  <c r="I30" i="92"/>
  <c r="I29" i="92"/>
  <c r="I28" i="92"/>
  <c r="I27" i="92"/>
  <c r="I26" i="92"/>
  <c r="I25" i="92"/>
  <c r="I24" i="92"/>
  <c r="I23" i="92"/>
  <c r="I22" i="92"/>
  <c r="I21" i="92"/>
  <c r="I20" i="92"/>
  <c r="I19" i="92"/>
  <c r="I18" i="92"/>
  <c r="G33" i="92"/>
  <c r="I12" i="92"/>
  <c r="I13" i="92" s="1"/>
  <c r="I14" i="92" s="1"/>
  <c r="G16" i="91"/>
  <c r="F123" i="50"/>
  <c r="F124" i="50"/>
  <c r="F125" i="50"/>
  <c r="F126" i="50"/>
  <c r="I162" i="64" l="1"/>
  <c r="I164" i="64" s="1"/>
  <c r="I166" i="64" s="1"/>
  <c r="H164" i="64"/>
  <c r="I15" i="92"/>
  <c r="I16" i="92" s="1"/>
  <c r="I17" i="92" s="1"/>
  <c r="I33" i="92"/>
  <c r="D35" i="92" s="1"/>
  <c r="I24" i="85"/>
  <c r="I25" i="85"/>
  <c r="I26" i="85"/>
  <c r="G14" i="85"/>
  <c r="I12" i="85"/>
  <c r="I148" i="49"/>
  <c r="I149" i="49"/>
  <c r="I150" i="49"/>
  <c r="I151" i="49"/>
  <c r="I152" i="49"/>
  <c r="I153" i="49"/>
  <c r="I154" i="49"/>
  <c r="I155" i="49"/>
  <c r="I156" i="49"/>
  <c r="I157" i="49"/>
  <c r="I158" i="49"/>
  <c r="I159" i="49"/>
  <c r="G142" i="49"/>
  <c r="G141" i="49"/>
  <c r="G134" i="49"/>
  <c r="G129" i="49"/>
  <c r="G123" i="49"/>
  <c r="G147" i="49"/>
  <c r="G146" i="49"/>
  <c r="G145" i="49"/>
  <c r="I44" i="81" l="1"/>
  <c r="I45" i="81"/>
  <c r="I46" i="81"/>
  <c r="I47" i="81"/>
  <c r="I48" i="81"/>
  <c r="I49" i="81"/>
  <c r="G23" i="85"/>
  <c r="I12" i="91"/>
  <c r="H33" i="91"/>
  <c r="F33" i="91"/>
  <c r="I32" i="91"/>
  <c r="I31" i="91"/>
  <c r="I30" i="91"/>
  <c r="I29" i="91"/>
  <c r="I28" i="91"/>
  <c r="I27" i="91"/>
  <c r="I26" i="91"/>
  <c r="I25" i="91"/>
  <c r="I24" i="91"/>
  <c r="I23" i="91"/>
  <c r="I22" i="91"/>
  <c r="I21" i="91"/>
  <c r="I20" i="91"/>
  <c r="I19" i="91"/>
  <c r="I18" i="91"/>
  <c r="I17" i="91"/>
  <c r="G13" i="91"/>
  <c r="G33" i="91" s="1"/>
  <c r="G21" i="85"/>
  <c r="G43" i="81"/>
  <c r="G41" i="81"/>
  <c r="G39" i="81"/>
  <c r="G37" i="81"/>
  <c r="I13" i="91" l="1"/>
  <c r="I14" i="91" s="1"/>
  <c r="I15" i="91" s="1"/>
  <c r="I16" i="91" s="1"/>
  <c r="I33" i="91"/>
  <c r="I319" i="77"/>
  <c r="I320" i="77"/>
  <c r="I321" i="77"/>
  <c r="I322" i="77"/>
  <c r="I323" i="77"/>
  <c r="I324" i="77"/>
  <c r="I325" i="77"/>
  <c r="I326" i="77"/>
  <c r="I327" i="77"/>
  <c r="I328" i="77"/>
  <c r="I329" i="77"/>
  <c r="I330" i="77"/>
  <c r="I331" i="77"/>
  <c r="I332" i="77"/>
  <c r="I333" i="77"/>
  <c r="I334" i="77"/>
  <c r="I335" i="77"/>
  <c r="G323" i="77"/>
  <c r="G322" i="77"/>
  <c r="G321" i="77"/>
  <c r="G320" i="77"/>
  <c r="G319" i="77"/>
  <c r="G318" i="77"/>
  <c r="G329" i="77"/>
  <c r="G328" i="77"/>
  <c r="G327" i="77"/>
  <c r="G326" i="77"/>
  <c r="G325" i="77"/>
  <c r="G324" i="77"/>
  <c r="G332" i="77"/>
  <c r="G331" i="77"/>
  <c r="G330" i="77"/>
  <c r="G310" i="77"/>
  <c r="G308" i="77"/>
  <c r="G307" i="77"/>
  <c r="G306" i="77"/>
  <c r="G315" i="77"/>
  <c r="G314" i="77"/>
  <c r="G313" i="77"/>
  <c r="G312" i="77"/>
  <c r="G311" i="77"/>
  <c r="D35" i="91" l="1"/>
  <c r="C23" i="34"/>
  <c r="G19" i="85"/>
  <c r="G11" i="34" l="1"/>
  <c r="G35" i="81" l="1"/>
  <c r="G32" i="81"/>
  <c r="G10" i="34" l="1"/>
  <c r="K25" i="90" l="1"/>
  <c r="F25" i="90"/>
  <c r="H5" i="90"/>
  <c r="H6" i="90"/>
  <c r="H7" i="90"/>
  <c r="H8" i="90"/>
  <c r="H9" i="90"/>
  <c r="H10" i="90"/>
  <c r="H11" i="90"/>
  <c r="H12" i="90"/>
  <c r="H13" i="90"/>
  <c r="H14" i="90"/>
  <c r="H15" i="90"/>
  <c r="H16" i="90"/>
  <c r="H17" i="90"/>
  <c r="H18" i="90"/>
  <c r="H19" i="90"/>
  <c r="H20" i="90"/>
  <c r="H21" i="90"/>
  <c r="H22" i="90"/>
  <c r="H23" i="90"/>
  <c r="H24" i="90"/>
  <c r="H4" i="90"/>
  <c r="A5" i="90"/>
  <c r="A6" i="90"/>
  <c r="A7" i="90"/>
  <c r="A8" i="90"/>
  <c r="A9" i="90"/>
  <c r="A10" i="90"/>
  <c r="A11" i="90"/>
  <c r="A12" i="90"/>
  <c r="A13" i="90"/>
  <c r="A14" i="90"/>
  <c r="A15" i="90"/>
  <c r="A16" i="90"/>
  <c r="A17" i="90"/>
  <c r="A18" i="90"/>
  <c r="A19" i="90"/>
  <c r="A20" i="90"/>
  <c r="A21" i="90"/>
  <c r="A22" i="90"/>
  <c r="A23" i="90"/>
  <c r="A24" i="90"/>
  <c r="A4" i="90"/>
  <c r="H25" i="90" l="1"/>
  <c r="C22" i="34"/>
  <c r="G16" i="85" l="1"/>
  <c r="G13" i="85"/>
  <c r="I13" i="85" s="1"/>
  <c r="I14" i="85" s="1"/>
  <c r="I15" i="85" s="1"/>
  <c r="I16" i="85" s="1"/>
  <c r="I17" i="85" s="1"/>
  <c r="I18" i="85" s="1"/>
  <c r="I19" i="85" s="1"/>
  <c r="I20" i="85" s="1"/>
  <c r="I21" i="85" s="1"/>
  <c r="I22" i="85" s="1"/>
  <c r="I23" i="85" s="1"/>
  <c r="G140" i="49" l="1"/>
  <c r="G139" i="49"/>
  <c r="G57" i="78" l="1"/>
  <c r="I57" i="78"/>
  <c r="G58" i="78"/>
  <c r="I58" i="78"/>
  <c r="G59" i="78"/>
  <c r="I59" i="78"/>
  <c r="G60" i="78"/>
  <c r="I60" i="78"/>
  <c r="G61" i="78"/>
  <c r="I61" i="78"/>
  <c r="G62" i="78"/>
  <c r="I62" i="78"/>
  <c r="G63" i="78"/>
  <c r="I63" i="78"/>
  <c r="G64" i="78"/>
  <c r="I64" i="78"/>
  <c r="G65" i="78"/>
  <c r="I65" i="78"/>
  <c r="G66" i="78"/>
  <c r="I66" i="78"/>
  <c r="G67" i="78"/>
  <c r="I67" i="78"/>
  <c r="G45" i="78"/>
  <c r="G46" i="78"/>
  <c r="G47" i="78"/>
  <c r="G48" i="78"/>
  <c r="G49" i="78"/>
  <c r="G50" i="78"/>
  <c r="G51" i="78"/>
  <c r="G52" i="78"/>
  <c r="G53" i="78"/>
  <c r="G54" i="78"/>
  <c r="H95" i="75" l="1"/>
  <c r="I95" i="75"/>
  <c r="H96" i="75"/>
  <c r="I96" i="75" s="1"/>
  <c r="H97" i="75"/>
  <c r="I97" i="75"/>
  <c r="H98" i="75"/>
  <c r="I98" i="75"/>
  <c r="H99" i="75"/>
  <c r="I99" i="75"/>
  <c r="H100" i="75"/>
  <c r="I100" i="75"/>
  <c r="H101" i="75"/>
  <c r="I101" i="75"/>
  <c r="H102" i="75"/>
  <c r="I102" i="75"/>
  <c r="K102" i="75"/>
  <c r="H103" i="75"/>
  <c r="I103" i="75"/>
  <c r="K103" i="75"/>
  <c r="H104" i="75"/>
  <c r="I104" i="75"/>
  <c r="K104" i="75"/>
  <c r="H105" i="75"/>
  <c r="I105" i="75"/>
  <c r="K105" i="75"/>
  <c r="H106" i="75"/>
  <c r="I106" i="75"/>
  <c r="K106" i="75"/>
  <c r="H107" i="75"/>
  <c r="I107" i="75"/>
  <c r="K107" i="75"/>
  <c r="H108" i="75"/>
  <c r="I108" i="75"/>
  <c r="K108" i="75"/>
  <c r="H109" i="75"/>
  <c r="I109" i="75"/>
  <c r="K109" i="75"/>
  <c r="G41" i="78" l="1"/>
  <c r="F42" i="78" l="1"/>
  <c r="G30" i="81" l="1"/>
  <c r="G28" i="81"/>
  <c r="G138" i="49" l="1"/>
  <c r="G143" i="49"/>
  <c r="G144" i="49"/>
  <c r="G148" i="49"/>
  <c r="G149" i="49"/>
  <c r="G150" i="49"/>
  <c r="G151" i="49"/>
  <c r="G152" i="49"/>
  <c r="G153" i="49"/>
  <c r="G154" i="49"/>
  <c r="G155" i="49"/>
  <c r="G156" i="49"/>
  <c r="G157" i="49"/>
  <c r="G158" i="49"/>
  <c r="A9" i="34"/>
  <c r="A10" i="34"/>
  <c r="A11" i="34"/>
  <c r="A12" i="34"/>
  <c r="A13" i="34"/>
  <c r="E10" i="34"/>
  <c r="E11" i="34"/>
  <c r="E12" i="34"/>
  <c r="F41" i="87" l="1"/>
  <c r="E40" i="87"/>
  <c r="E39" i="87"/>
  <c r="E38" i="87"/>
  <c r="E37" i="87"/>
  <c r="F15" i="87"/>
  <c r="C15" i="87"/>
  <c r="F9" i="87"/>
  <c r="C36" i="87" s="1"/>
  <c r="E36" i="87" s="1"/>
  <c r="C9" i="87"/>
  <c r="E10" i="87"/>
  <c r="E11" i="87"/>
  <c r="E5" i="87"/>
  <c r="E9" i="87" s="1"/>
  <c r="E41" i="87" l="1"/>
  <c r="F43" i="87" s="1"/>
  <c r="E15" i="87"/>
  <c r="G19" i="34" l="1"/>
  <c r="I16" i="88" l="1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F33" i="88"/>
  <c r="I32" i="88"/>
  <c r="I31" i="88"/>
  <c r="H33" i="88"/>
  <c r="I15" i="88"/>
  <c r="I14" i="88"/>
  <c r="G13" i="88"/>
  <c r="G33" i="88" s="1"/>
  <c r="I12" i="88"/>
  <c r="I13" i="88" s="1"/>
  <c r="I33" i="88" l="1"/>
  <c r="F148" i="64"/>
  <c r="F149" i="64"/>
  <c r="I149" i="64" s="1"/>
  <c r="F150" i="64"/>
  <c r="H148" i="64"/>
  <c r="H149" i="64"/>
  <c r="H150" i="64"/>
  <c r="H147" i="64"/>
  <c r="F147" i="64"/>
  <c r="I150" i="64" l="1"/>
  <c r="I148" i="64"/>
  <c r="D35" i="88"/>
  <c r="C21" i="34"/>
  <c r="H152" i="64"/>
  <c r="F152" i="64"/>
  <c r="I147" i="64"/>
  <c r="M30" i="87"/>
  <c r="J29" i="87"/>
  <c r="M29" i="87" s="1"/>
  <c r="J28" i="87"/>
  <c r="M28" i="87" s="1"/>
  <c r="J27" i="87"/>
  <c r="M27" i="87" s="1"/>
  <c r="J26" i="87"/>
  <c r="M26" i="87" s="1"/>
  <c r="E26" i="87"/>
  <c r="J25" i="87"/>
  <c r="M25" i="87" s="1"/>
  <c r="D25" i="87"/>
  <c r="E25" i="87" s="1"/>
  <c r="A25" i="87"/>
  <c r="J24" i="87"/>
  <c r="M24" i="87" s="1"/>
  <c r="E24" i="87"/>
  <c r="A24" i="87"/>
  <c r="J23" i="87"/>
  <c r="M23" i="87" s="1"/>
  <c r="E23" i="87"/>
  <c r="A23" i="87"/>
  <c r="J22" i="87"/>
  <c r="M22" i="87" s="1"/>
  <c r="E22" i="87"/>
  <c r="A22" i="87"/>
  <c r="J21" i="87"/>
  <c r="M21" i="87" s="1"/>
  <c r="E21" i="87"/>
  <c r="A21" i="87"/>
  <c r="J20" i="87"/>
  <c r="M20" i="87" s="1"/>
  <c r="E20" i="87"/>
  <c r="A20" i="87"/>
  <c r="J19" i="87"/>
  <c r="M19" i="87" s="1"/>
  <c r="E19" i="87"/>
  <c r="A19" i="87"/>
  <c r="J18" i="87"/>
  <c r="M18" i="87" s="1"/>
  <c r="C18" i="87"/>
  <c r="C27" i="87" s="1"/>
  <c r="E27" i="87" s="1"/>
  <c r="A18" i="87"/>
  <c r="E18" i="87" l="1"/>
  <c r="I152" i="64"/>
  <c r="I154" i="64" s="1"/>
  <c r="M31" i="87"/>
  <c r="E28" i="87" s="1"/>
  <c r="E31" i="87" l="1"/>
  <c r="I91" i="75"/>
  <c r="E33" i="87" l="1"/>
  <c r="H856" i="73"/>
  <c r="H760" i="73"/>
  <c r="G26" i="81" l="1"/>
  <c r="F27" i="85" l="1"/>
  <c r="G27" i="85"/>
  <c r="H27" i="85" l="1"/>
  <c r="I27" i="85" s="1"/>
  <c r="C20" i="34" s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H110" i="75"/>
  <c r="I110" i="75"/>
  <c r="K110" i="75"/>
  <c r="D29" i="85" l="1"/>
  <c r="G7" i="34"/>
  <c r="G295" i="77" l="1"/>
  <c r="G296" i="77"/>
  <c r="G297" i="77"/>
  <c r="G298" i="77"/>
  <c r="G299" i="77"/>
  <c r="G300" i="77"/>
  <c r="G301" i="77"/>
  <c r="G302" i="77"/>
  <c r="G303" i="77"/>
  <c r="G304" i="77"/>
  <c r="G305" i="77"/>
  <c r="G316" i="77"/>
  <c r="G317" i="77"/>
  <c r="G333" i="77"/>
  <c r="G40" i="78" l="1"/>
  <c r="I84" i="75"/>
  <c r="G24" i="81" l="1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E20" i="34"/>
  <c r="E21" i="34"/>
  <c r="E22" i="34"/>
  <c r="E23" i="34"/>
  <c r="E24" i="34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290" i="77" l="1"/>
  <c r="G291" i="77"/>
  <c r="G292" i="77"/>
  <c r="G293" i="77"/>
  <c r="G294" i="77"/>
  <c r="G334" i="77"/>
  <c r="G335" i="77"/>
  <c r="G15" i="81" l="1"/>
  <c r="G13" i="81"/>
  <c r="I12" i="81"/>
  <c r="F50" i="81"/>
  <c r="G50" i="81" l="1"/>
  <c r="I13" i="81"/>
  <c r="I14" i="81" s="1"/>
  <c r="I15" i="81" s="1"/>
  <c r="I16" i="81" s="1"/>
  <c r="I1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H18" i="81" l="1"/>
  <c r="I18" i="81" l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G277" i="77"/>
  <c r="G278" i="77"/>
  <c r="G279" i="77"/>
  <c r="G280" i="77"/>
  <c r="G281" i="77"/>
  <c r="G283" i="77"/>
  <c r="G284" i="77"/>
  <c r="G285" i="77"/>
  <c r="G286" i="77"/>
  <c r="G287" i="77"/>
  <c r="G288" i="77"/>
  <c r="F39" i="78" l="1"/>
  <c r="F38" i="78"/>
  <c r="H50" i="81" l="1"/>
  <c r="I50" i="81" s="1"/>
  <c r="I33" i="8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C19" i="34"/>
  <c r="D52" i="81"/>
  <c r="G104" i="59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E19" i="34" l="1"/>
  <c r="E25" i="34"/>
  <c r="E18" i="34"/>
  <c r="A19" i="34"/>
  <c r="A20" i="34"/>
  <c r="A25" i="34"/>
  <c r="A18" i="34"/>
  <c r="E4" i="34"/>
  <c r="E5" i="34"/>
  <c r="E6" i="34"/>
  <c r="E7" i="34"/>
  <c r="E8" i="34"/>
  <c r="E9" i="34"/>
  <c r="E13" i="34"/>
  <c r="A4" i="34"/>
  <c r="A5" i="34"/>
  <c r="A6" i="34"/>
  <c r="A7" i="34"/>
  <c r="A8" i="34"/>
  <c r="A3" i="34"/>
  <c r="G39" i="78"/>
  <c r="G42" i="78"/>
  <c r="G43" i="78"/>
  <c r="G44" i="78"/>
  <c r="G55" i="78"/>
  <c r="G56" i="78"/>
  <c r="I56" i="78"/>
  <c r="I68" i="78"/>
  <c r="G6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336" i="77"/>
  <c r="G336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K111" i="75"/>
  <c r="I111" i="75"/>
  <c r="H111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340" i="77"/>
  <c r="D115" i="75"/>
  <c r="I13" i="78" l="1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37" i="77" s="1"/>
  <c r="G30" i="76"/>
  <c r="I112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37" i="77"/>
  <c r="G69" i="78"/>
  <c r="I337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99" i="77" s="1"/>
  <c r="I300" i="77" s="1"/>
  <c r="I301" i="77" s="1"/>
  <c r="I302" i="77" s="1"/>
  <c r="I303" i="77" s="1"/>
  <c r="I304" i="77" s="1"/>
  <c r="I305" i="77" s="1"/>
  <c r="I306" i="77" s="1"/>
  <c r="I307" i="77" s="1"/>
  <c r="I308" i="77" s="1"/>
  <c r="I309" i="77" s="1"/>
  <c r="I310" i="77" s="1"/>
  <c r="I311" i="77" s="1"/>
  <c r="I312" i="77" s="1"/>
  <c r="I313" i="77" s="1"/>
  <c r="I314" i="77" s="1"/>
  <c r="I315" i="77" s="1"/>
  <c r="I316" i="77" s="1"/>
  <c r="I317" i="77" s="1"/>
  <c r="I318" i="77" s="1"/>
  <c r="I22" i="76"/>
  <c r="I23" i="76" s="1"/>
  <c r="I24" i="76" s="1"/>
  <c r="J25" i="75"/>
  <c r="H21" i="78"/>
  <c r="I21" i="78" s="1"/>
  <c r="I22" i="78" s="1"/>
  <c r="E339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12" i="75" s="1"/>
  <c r="K112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E114" i="75"/>
  <c r="H37" i="78"/>
  <c r="H69" i="78" s="1"/>
  <c r="I69" i="78" s="1"/>
  <c r="C7" i="34" s="1"/>
  <c r="I37" i="78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E71" i="78" l="1"/>
  <c r="C72" i="78"/>
  <c r="E16" i="74" l="1"/>
  <c r="E19" i="74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C18" i="34" s="1"/>
  <c r="G92" i="59" l="1"/>
  <c r="G90" i="59"/>
  <c r="G26" i="34" l="1"/>
  <c r="G88" i="59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27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" i="34"/>
  <c r="H17" i="64" l="1"/>
  <c r="F44" i="64"/>
  <c r="F54" i="64"/>
  <c r="F61" i="64"/>
  <c r="G160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60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6" i="3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H106" i="59" l="1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H160" i="49" l="1"/>
  <c r="I160" i="49" s="1"/>
  <c r="G3" i="34" s="1"/>
  <c r="E88" i="50"/>
  <c r="F88" i="50" s="1"/>
  <c r="F89" i="50" s="1"/>
  <c r="F90" i="50" s="1"/>
  <c r="E91" i="50" s="1"/>
  <c r="A42" i="34" a="1"/>
  <c r="A42" i="34" s="1"/>
  <c r="F91" i="50" l="1"/>
  <c r="C43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E127" i="50"/>
  <c r="F127" i="50" s="1"/>
  <c r="G4" i="34" s="1"/>
  <c r="G14" i="34" s="1"/>
</calcChain>
</file>

<file path=xl/sharedStrings.xml><?xml version="1.0" encoding="utf-8"?>
<sst xmlns="http://schemas.openxmlformats.org/spreadsheetml/2006/main" count="7619" uniqueCount="2214">
  <si>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</si>
  <si>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</si>
  <si>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</si>
  <si>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</si>
  <si>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</si>
  <si>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</si>
  <si>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</si>
  <si>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</si>
  <si>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</si>
  <si>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</si>
  <si>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</si>
  <si>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</si>
  <si>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</si>
  <si>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</si>
  <si>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</si>
  <si>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</si>
  <si>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</si>
  <si>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</si>
  <si>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</si>
  <si>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</si>
  <si>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</si>
  <si>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</si>
  <si>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</si>
  <si>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</si>
  <si>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</si>
  <si>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</si>
  <si>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</si>
  <si>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</si>
  <si>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</si>
  <si>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</si>
  <si>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</si>
  <si>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</si>
  <si>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</si>
  <si>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</si>
  <si>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</si>
  <si>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</si>
  <si>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</si>
  <si>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</si>
  <si>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</si>
  <si>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</si>
  <si>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</si>
  <si>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</si>
  <si>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</si>
  <si>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</si>
  <si>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</si>
  <si>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</si>
  <si>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</si>
  <si>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</si>
  <si>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</si>
  <si>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</si>
  <si>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</si>
  <si>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</si>
  <si>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</si>
  <si>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</si>
  <si>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</si>
  <si>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</si>
  <si>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</si>
  <si>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</si>
  <si>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</si>
  <si>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</si>
  <si>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</si>
  <si>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</si>
  <si>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</si>
  <si>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</si>
  <si>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</si>
  <si>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</si>
  <si>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</si>
  <si>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</si>
  <si>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</si>
  <si>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</si>
  <si>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</si>
  <si>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</si>
  <si>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</si>
  <si>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</si>
  <si>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</si>
  <si>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</si>
  <si>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</si>
  <si>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</si>
  <si>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</si>
  <si>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</si>
  <si>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</si>
  <si>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</si>
  <si>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</si>
  <si>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</si>
  <si>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</si>
  <si>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</si>
  <si>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</si>
  <si>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</si>
  <si>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</si>
  <si>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</si>
  <si>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</si>
  <si>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</si>
  <si>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</si>
  <si>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</si>
  <si>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</si>
  <si>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</si>
  <si>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</si>
  <si>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</si>
  <si>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</si>
  <si>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</si>
  <si>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</si>
  <si>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</si>
  <si>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</si>
  <si>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</si>
  <si>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</si>
  <si>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</si>
  <si>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</si>
  <si>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</si>
  <si>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</si>
  <si>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</si>
  <si>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</si>
  <si>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</si>
  <si>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</si>
  <si>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</si>
  <si>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</si>
  <si>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</si>
  <si>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</si>
  <si>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</si>
  <si>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</si>
  <si>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</si>
  <si>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</si>
  <si>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</si>
  <si>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</si>
  <si>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</si>
  <si>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</si>
  <si>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</si>
  <si>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</si>
  <si>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</si>
  <si>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</si>
  <si>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</si>
  <si>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</si>
  <si>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</si>
  <si>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</si>
  <si>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</si>
  <si>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</si>
  <si>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</si>
  <si>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</si>
  <si>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</si>
  <si>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</si>
  <si>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</si>
  <si>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</si>
  <si>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</si>
  <si>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</si>
  <si>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</si>
  <si>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</si>
  <si>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</si>
  <si>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</si>
  <si>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</si>
  <si>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</si>
  <si>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</si>
  <si>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</si>
  <si>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</si>
  <si>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</si>
  <si>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</si>
  <si>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</si>
  <si>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</si>
  <si>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</si>
  <si>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</si>
  <si>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</si>
  <si>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</si>
  <si>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</si>
  <si>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</si>
  <si>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</si>
  <si>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</si>
  <si>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</si>
  <si>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</si>
  <si>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</si>
  <si>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</si>
  <si>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</si>
  <si>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</si>
  <si>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</si>
  <si>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</si>
  <si>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</si>
  <si>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</si>
  <si>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</si>
  <si>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</si>
  <si>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</si>
  <si>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</si>
  <si>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</si>
  <si>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</si>
  <si>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</si>
  <si>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</si>
  <si>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</si>
  <si>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</si>
  <si>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</si>
  <si>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</si>
  <si>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</si>
  <si>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</si>
  <si>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</si>
  <si>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</si>
  <si>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</si>
  <si>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</si>
  <si>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</si>
  <si>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</si>
  <si>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</si>
  <si>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</si>
  <si>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</si>
  <si>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</si>
  <si>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</si>
  <si>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</si>
  <si>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</si>
  <si>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</si>
  <si>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</si>
  <si>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</si>
  <si>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</si>
  <si>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</si>
  <si>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</si>
  <si>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</si>
  <si>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</si>
  <si>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</si>
  <si>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</si>
  <si>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</si>
  <si>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</si>
  <si>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</si>
  <si>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</si>
  <si>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</si>
  <si>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</si>
  <si>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</si>
  <si>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</si>
  <si>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</si>
  <si>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</si>
  <si>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</si>
  <si>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</si>
  <si>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</si>
  <si>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</si>
  <si>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</si>
  <si>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</si>
  <si>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</si>
  <si>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</si>
  <si>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</si>
  <si>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</si>
  <si>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</si>
  <si>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</si>
  <si>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</si>
  <si>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</si>
  <si>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</si>
  <si>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</si>
  <si>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</si>
  <si>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</si>
  <si>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</si>
  <si>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</si>
  <si>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</si>
  <si>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</si>
  <si>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</si>
  <si>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</si>
  <si>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</si>
  <si>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</si>
  <si>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</si>
  <si>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</si>
  <si>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</si>
  <si>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</si>
  <si>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</si>
  <si>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</si>
  <si>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</si>
  <si>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</si>
  <si>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</si>
  <si>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</si>
  <si>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</si>
  <si>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</si>
  <si>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</si>
  <si>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</si>
  <si>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</si>
  <si>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</si>
  <si>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</si>
  <si>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</si>
  <si>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</si>
  <si>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</si>
  <si>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</si>
  <si>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</si>
  <si>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</si>
  <si>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</si>
  <si>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</si>
  <si>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</si>
  <si>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</si>
  <si>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</si>
  <si>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</si>
  <si>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</si>
  <si>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</si>
  <si>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</si>
  <si>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</si>
  <si>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</si>
  <si>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</si>
  <si>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</si>
  <si>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</si>
  <si>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</si>
  <si>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</si>
  <si>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</si>
  <si>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</si>
  <si>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</si>
  <si>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</si>
  <si>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</si>
  <si>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</si>
  <si>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</si>
  <si>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</si>
  <si>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</si>
  <si>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</si>
  <si>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</si>
  <si>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</si>
  <si>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</si>
  <si>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</si>
  <si>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</si>
  <si>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</si>
  <si>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</si>
  <si>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</si>
  <si>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</si>
  <si>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</si>
  <si>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</si>
  <si>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</si>
  <si>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</si>
  <si>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</si>
  <si>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</si>
  <si>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</si>
  <si>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</si>
  <si>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</si>
  <si>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</si>
  <si>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</si>
  <si>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</si>
  <si>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</si>
  <si>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</si>
  <si>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</si>
  <si>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</si>
  <si>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</si>
  <si>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</si>
  <si>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</si>
  <si>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</si>
  <si>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</si>
  <si>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</si>
  <si>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</si>
  <si>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</si>
  <si>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</si>
  <si>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</si>
  <si>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</si>
  <si>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</si>
  <si>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</si>
  <si>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</si>
  <si>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</si>
  <si>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</si>
  <si>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</si>
  <si>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</si>
  <si>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</si>
  <si>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</si>
  <si>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</si>
  <si>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</si>
  <si>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</si>
  <si>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</si>
  <si>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</si>
  <si>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</si>
  <si>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</si>
  <si>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</si>
  <si>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</si>
  <si>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</si>
  <si>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</si>
  <si>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</si>
  <si>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</si>
  <si>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</si>
  <si>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</si>
  <si>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</si>
  <si>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</si>
  <si>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</si>
  <si>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</si>
  <si>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</si>
  <si>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</si>
  <si>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</si>
  <si>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</si>
  <si>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</si>
  <si>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</si>
  <si>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</si>
  <si>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</si>
  <si>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</si>
  <si>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</si>
  <si>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</si>
  <si>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</si>
  <si>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</si>
  <si>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</si>
  <si>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</si>
  <si>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</si>
  <si>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</si>
  <si>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</si>
  <si>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</si>
  <si>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</si>
  <si>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</si>
  <si>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</si>
  <si>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</si>
  <si>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</si>
  <si>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</si>
  <si>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</si>
  <si>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</si>
  <si>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</si>
  <si>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</si>
  <si>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</si>
  <si>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</si>
  <si>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</si>
  <si>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</si>
  <si>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</si>
  <si>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</si>
  <si>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</si>
  <si>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</si>
  <si>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</si>
  <si>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</si>
  <si>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</si>
  <si>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</si>
  <si>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</si>
  <si>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</si>
  <si>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</si>
  <si>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</si>
  <si>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</si>
  <si>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</si>
  <si>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</si>
  <si>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</si>
  <si>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</si>
  <si>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</si>
  <si>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</si>
  <si>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</si>
  <si>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</si>
  <si>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</si>
  <si>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</si>
  <si>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</si>
  <si>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</si>
  <si>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</si>
  <si>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</si>
  <si>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</si>
  <si>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</si>
  <si>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</si>
  <si>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</si>
  <si>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</si>
  <si>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</si>
  <si>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</si>
  <si>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</si>
  <si>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</si>
  <si>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</si>
  <si>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</si>
  <si>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</si>
  <si>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</si>
  <si>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</si>
  <si>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</si>
  <si>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</si>
  <si>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</si>
  <si>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</si>
  <si>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</si>
  <si>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</si>
  <si>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</si>
  <si>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</si>
  <si>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</si>
  <si>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</si>
  <si>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</si>
  <si>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</si>
  <si>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</si>
  <si>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</si>
  <si>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</si>
  <si>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</si>
  <si>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</si>
  <si>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</si>
  <si>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</si>
  <si>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</si>
  <si>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</si>
  <si>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</si>
  <si>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</si>
  <si>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</si>
  <si>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</si>
  <si>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</si>
  <si>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</si>
  <si>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</si>
  <si>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</si>
  <si>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</si>
  <si>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</si>
  <si>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</si>
  <si>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</si>
  <si>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</si>
  <si>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</si>
  <si>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</si>
  <si>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</si>
  <si>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</si>
  <si>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</si>
  <si>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</si>
  <si>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</si>
  <si>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</si>
  <si>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</si>
  <si>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</si>
  <si>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</si>
  <si>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</si>
  <si>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</si>
  <si>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</si>
  <si>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</si>
  <si>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</si>
  <si>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</si>
  <si>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</si>
  <si>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</si>
  <si>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</si>
  <si>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</si>
  <si>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</si>
  <si>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</si>
  <si>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</si>
  <si>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</si>
  <si>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</si>
  <si>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</si>
  <si>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</si>
  <si>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</si>
  <si>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</si>
  <si>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</si>
  <si>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</si>
  <si>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</si>
  <si>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</si>
  <si>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</si>
  <si>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</si>
  <si>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</si>
  <si>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</si>
  <si>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</si>
  <si>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</si>
  <si>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</si>
  <si>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</si>
  <si>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</si>
  <si>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</si>
  <si>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</si>
  <si>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</si>
  <si>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</si>
  <si>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</si>
  <si>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</si>
  <si>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</si>
  <si>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</si>
  <si>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</si>
  <si>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</si>
  <si>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</si>
  <si>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</si>
  <si>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</si>
  <si>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</si>
  <si>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</si>
  <si>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</si>
  <si>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</si>
  <si>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</si>
  <si>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</si>
  <si>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</si>
  <si>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</si>
  <si>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</si>
  <si>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</si>
  <si>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</si>
  <si>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</si>
  <si>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</si>
  <si>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</si>
  <si>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</si>
  <si>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</si>
  <si>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</si>
  <si>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</si>
  <si>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</si>
  <si>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</si>
  <si>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</si>
  <si>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</si>
  <si>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</si>
  <si>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</si>
  <si>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</si>
  <si>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</si>
  <si>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</si>
  <si>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</si>
  <si>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</si>
  <si>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</si>
  <si>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</si>
  <si>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</si>
  <si>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</si>
  <si>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</si>
  <si>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</si>
  <si>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</si>
  <si>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</si>
  <si>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</si>
  <si>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</si>
  <si>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</si>
  <si>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</si>
  <si>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</si>
  <si>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</si>
  <si>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</si>
  <si>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</si>
  <si>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</si>
  <si>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</si>
  <si>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</si>
  <si>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</si>
  <si>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</si>
  <si>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</si>
  <si>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</si>
  <si>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</si>
  <si>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</si>
  <si>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</si>
  <si>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</si>
  <si>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</si>
  <si>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</si>
  <si>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</si>
  <si>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</si>
  <si>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</si>
  <si>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</si>
  <si>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</si>
  <si>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</si>
  <si>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</si>
  <si>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</si>
  <si>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</si>
  <si>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</si>
  <si>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</si>
  <si>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</si>
  <si>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</si>
  <si>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</si>
  <si>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</si>
  <si>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</si>
  <si>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</si>
  <si>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</si>
  <si>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</si>
  <si>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</si>
  <si>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</si>
  <si>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</si>
  <si>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</si>
  <si>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</si>
  <si>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</si>
  <si>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</si>
  <si>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</si>
  <si>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</si>
  <si>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</si>
  <si>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</si>
  <si>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</si>
  <si>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</si>
  <si>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</si>
  <si>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</si>
  <si>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</si>
  <si>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</si>
  <si>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</si>
  <si>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</si>
  <si>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</si>
  <si>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</si>
  <si>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</si>
  <si>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</si>
  <si>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</si>
  <si>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</si>
  <si>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</si>
  <si>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</si>
  <si>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</si>
  <si>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</si>
  <si>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</si>
  <si>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</si>
  <si>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</si>
  <si>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</si>
  <si>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</si>
  <si>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</si>
  <si>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</si>
  <si>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</si>
  <si>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</si>
  <si>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</si>
  <si>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</si>
  <si>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</si>
  <si>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</si>
  <si>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</si>
  <si>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</si>
  <si>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</si>
  <si>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</si>
  <si>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</si>
  <si>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</si>
  <si>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</si>
  <si>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</si>
  <si>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</si>
  <si>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</si>
  <si>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</si>
  <si>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</si>
  <si>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</si>
  <si>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</si>
  <si>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</si>
  <si>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</si>
  <si>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</si>
  <si>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</si>
  <si>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</si>
  <si>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</si>
  <si>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</si>
  <si>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</si>
  <si>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</si>
  <si>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</si>
  <si>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</si>
  <si>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</si>
  <si>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</si>
  <si>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</si>
  <si>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</si>
  <si>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</si>
  <si>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</si>
  <si>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</si>
  <si>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</si>
  <si>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</si>
  <si>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</si>
  <si>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</si>
  <si>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</si>
  <si>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</si>
  <si>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</si>
  <si>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</si>
  <si>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</si>
  <si>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</si>
  <si>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</si>
  <si>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</si>
  <si>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</si>
  <si>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</si>
  <si>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</si>
  <si>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</si>
  <si>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</si>
  <si>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</si>
  <si>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</si>
  <si>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</si>
  <si>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</si>
  <si>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</si>
  <si>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</si>
  <si>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</si>
  <si>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</si>
  <si>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</si>
  <si>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</si>
  <si>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</si>
  <si>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</si>
  <si>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</si>
  <si>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</si>
  <si>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</si>
  <si>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</si>
  <si>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</si>
  <si>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</si>
  <si>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</si>
  <si>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</si>
  <si>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</si>
  <si>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</si>
  <si>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</si>
  <si>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</si>
  <si>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</si>
  <si>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</si>
  <si>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</si>
  <si>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</si>
  <si>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</si>
  <si>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</si>
  <si>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</si>
  <si>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</si>
  <si>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</si>
  <si>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</si>
  <si>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</si>
  <si>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</si>
  <si>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</si>
  <si>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</si>
  <si>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</si>
  <si>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</si>
  <si>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</si>
  <si>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</si>
  <si>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</si>
  <si>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</si>
  <si>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</si>
  <si>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</si>
  <si>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</si>
  <si>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</si>
  <si>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</si>
  <si>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</si>
  <si>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</si>
  <si>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</si>
  <si>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</si>
  <si>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</si>
  <si>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</si>
  <si>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</si>
  <si>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</si>
  <si>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</si>
  <si>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</si>
  <si>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</si>
  <si>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</si>
  <si>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</si>
  <si>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</si>
  <si>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</si>
  <si>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</si>
  <si>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</si>
  <si>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</si>
  <si>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</si>
  <si>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</si>
  <si>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</si>
  <si>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</si>
  <si>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</si>
  <si>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</si>
  <si>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</si>
  <si>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</si>
  <si>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</si>
  <si>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</si>
  <si>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</si>
  <si>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</si>
  <si>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</si>
  <si>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</si>
  <si>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</si>
  <si>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</si>
  <si>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</si>
  <si>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</si>
  <si>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</si>
  <si>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</si>
  <si>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</si>
  <si>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</si>
  <si>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</si>
  <si>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</si>
  <si>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</si>
  <si>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</si>
  <si>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</si>
  <si>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</si>
  <si>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</si>
  <si>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</si>
  <si>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</si>
  <si>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</si>
  <si>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</si>
  <si>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</si>
  <si>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</si>
  <si>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</si>
  <si>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</si>
  <si>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</si>
  <si>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</si>
  <si>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</si>
  <si>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</si>
  <si>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</si>
  <si>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</si>
  <si>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</si>
  <si>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</si>
  <si>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</si>
  <si>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</si>
  <si>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</si>
  <si>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</si>
  <si>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</si>
  <si>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</si>
  <si>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</si>
  <si>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</si>
  <si>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</si>
  <si>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</si>
  <si>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</si>
  <si>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</si>
  <si>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</si>
  <si>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</si>
  <si>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</si>
  <si>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</si>
  <si>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</si>
  <si>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</si>
  <si>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</si>
  <si>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</si>
  <si>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</si>
  <si>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</si>
  <si>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</si>
  <si>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</si>
  <si>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</si>
  <si>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</si>
  <si>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</si>
  <si>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</si>
  <si>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</si>
  <si>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</si>
  <si>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</si>
  <si>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</si>
  <si>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</si>
  <si>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</si>
  <si>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</si>
  <si>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</si>
  <si>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</si>
  <si>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</si>
  <si>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</si>
  <si>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</si>
  <si>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</si>
  <si>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</si>
  <si>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</si>
  <si>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</si>
  <si>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</si>
  <si>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</si>
  <si>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</si>
  <si>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</si>
  <si>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</si>
  <si>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</si>
  <si>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</si>
  <si>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</si>
  <si>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</si>
  <si>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</si>
  <si>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</si>
  <si>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</si>
  <si>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</si>
  <si>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</si>
  <si>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</si>
  <si>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</si>
  <si>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</si>
  <si>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</si>
  <si>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</si>
  <si>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</si>
  <si>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</si>
  <si>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</si>
  <si>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</si>
  <si>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</si>
  <si>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</si>
  <si>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</si>
  <si>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</si>
  <si>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</si>
  <si>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</si>
  <si>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</si>
  <si>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</si>
  <si>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</si>
  <si>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</si>
  <si>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</si>
  <si>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</si>
  <si>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</si>
  <si>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</si>
  <si>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</si>
  <si>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</si>
  <si>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</si>
  <si>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</si>
  <si>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</si>
  <si>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</si>
  <si>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</si>
  <si>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</si>
  <si>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</si>
  <si>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</si>
  <si>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</si>
  <si>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</si>
  <si>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</si>
  <si>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</si>
  <si>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</si>
  <si>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</si>
  <si>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</si>
  <si>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</si>
  <si>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</si>
  <si>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</si>
  <si>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</si>
  <si>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</si>
  <si>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</si>
  <si>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</si>
  <si>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</si>
  <si>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</si>
  <si>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</si>
  <si>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</si>
  <si>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</si>
  <si>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</si>
  <si>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</si>
  <si>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</si>
  <si>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</si>
  <si>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</si>
  <si>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</si>
  <si>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</si>
  <si>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</si>
  <si>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</si>
  <si>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</si>
  <si>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</si>
  <si>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</si>
  <si>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</si>
  <si>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</si>
  <si>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</si>
  <si>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</si>
  <si>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</si>
  <si>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</si>
  <si>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</si>
  <si>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</si>
  <si>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</si>
  <si>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</si>
  <si>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</si>
  <si>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</si>
  <si>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</si>
  <si>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</si>
  <si>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</si>
  <si>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</si>
  <si>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</si>
  <si>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</si>
  <si>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</si>
  <si>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</si>
  <si>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</si>
  <si>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</si>
  <si>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</si>
  <si>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</si>
  <si>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</si>
  <si>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</si>
  <si>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</si>
  <si>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</si>
  <si>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</si>
  <si>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</si>
  <si>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</si>
  <si>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</si>
  <si>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</si>
  <si>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</si>
  <si>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</si>
  <si>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</si>
  <si>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</si>
  <si>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</si>
  <si>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</si>
  <si>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</si>
  <si>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</si>
  <si>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</si>
  <si>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</si>
  <si>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</si>
  <si>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</si>
  <si>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</si>
  <si>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</si>
  <si>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</si>
  <si>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</si>
  <si>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</si>
  <si>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</si>
  <si>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</si>
  <si>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</si>
  <si>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</si>
  <si>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</si>
  <si>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</si>
  <si>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</si>
  <si>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</si>
  <si>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</si>
  <si>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</si>
  <si>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</si>
  <si>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</si>
  <si>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</si>
  <si>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</si>
  <si>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</si>
  <si>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</si>
  <si>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</si>
  <si>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</si>
  <si>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</si>
  <si>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</si>
  <si>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</si>
  <si>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</si>
  <si>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</si>
  <si>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</si>
  <si>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</si>
  <si>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</si>
  <si>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</si>
  <si>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</si>
  <si>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</si>
  <si>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</si>
  <si>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</si>
  <si>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</si>
  <si>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</si>
  <si>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</si>
  <si>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</si>
  <si>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</si>
  <si>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</si>
  <si>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</si>
  <si>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</si>
  <si>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</si>
  <si>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</si>
  <si>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</si>
  <si>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</si>
  <si>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</si>
  <si>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</si>
  <si>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</si>
  <si>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</si>
  <si>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</si>
  <si>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</si>
  <si>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</si>
  <si>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</si>
  <si>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</si>
  <si>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</si>
  <si>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</si>
  <si>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</si>
  <si>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</si>
  <si>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</si>
  <si>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</si>
  <si>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</si>
  <si>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</si>
  <si>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</si>
  <si>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</si>
  <si>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</si>
  <si>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</si>
  <si>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</si>
  <si>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</si>
  <si>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</si>
  <si>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</si>
  <si>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</si>
  <si>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</si>
  <si>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</si>
  <si>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</si>
  <si>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</si>
  <si>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</si>
  <si>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</si>
  <si>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</si>
  <si>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</si>
  <si>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</si>
  <si>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</si>
  <si>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</si>
  <si>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</si>
  <si>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</si>
  <si>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</si>
  <si>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</si>
  <si>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</si>
  <si>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</si>
  <si>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</si>
  <si>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</si>
  <si>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</si>
  <si>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</si>
  <si>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</si>
  <si>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</si>
  <si>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</si>
  <si>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</si>
  <si>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</si>
  <si>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</si>
  <si>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</si>
  <si>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</si>
  <si>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</si>
  <si>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</si>
  <si>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</si>
  <si>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</si>
  <si>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</si>
  <si>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</si>
  <si>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</si>
  <si>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</si>
  <si>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</si>
  <si>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</si>
  <si>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</si>
  <si>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</si>
  <si>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</si>
  <si>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</si>
  <si>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</si>
  <si>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</si>
  <si>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</si>
  <si>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</si>
  <si>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</si>
  <si>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</si>
  <si>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</si>
  <si>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</si>
  <si>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</si>
  <si>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</si>
  <si>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</si>
  <si>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</si>
  <si>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</si>
  <si>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</si>
  <si>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</si>
  <si>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</si>
  <si>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</si>
  <si>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</si>
  <si>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</si>
  <si>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</si>
  <si>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</si>
  <si>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</si>
  <si>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</si>
  <si>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</si>
  <si>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</si>
  <si>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</si>
  <si>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</si>
  <si>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</si>
  <si>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</si>
  <si>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</si>
  <si>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</si>
  <si>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</si>
  <si>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</si>
  <si>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</si>
  <si>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</si>
  <si>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</si>
  <si>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</si>
  <si>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</si>
  <si>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</si>
  <si>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</si>
  <si>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</si>
  <si>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</si>
  <si>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</si>
  <si>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</si>
  <si>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</si>
  <si>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</si>
  <si>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</si>
  <si>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</si>
  <si>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</si>
  <si>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</si>
  <si>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</si>
  <si>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</si>
  <si>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</si>
  <si>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</si>
  <si>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</si>
  <si>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</si>
  <si>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</si>
  <si>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</si>
  <si>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</si>
  <si>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</si>
  <si>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</si>
  <si>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</si>
  <si>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</si>
  <si>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</si>
  <si>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</si>
  <si>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</si>
  <si>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</si>
  <si>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</si>
  <si>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</si>
  <si>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</si>
  <si>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</si>
  <si>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</si>
  <si>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</si>
  <si>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</si>
  <si>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</si>
  <si>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</si>
  <si>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</si>
  <si>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</si>
  <si>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</si>
  <si>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</si>
  <si>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</si>
  <si>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</si>
  <si>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</si>
  <si>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</si>
  <si>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</si>
  <si>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</si>
  <si>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</si>
  <si>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</si>
  <si>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</si>
  <si>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</si>
  <si>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</si>
  <si>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</si>
  <si>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</si>
  <si>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</si>
  <si>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</si>
  <si>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</si>
  <si>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</si>
  <si>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</si>
  <si>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</si>
  <si>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</si>
  <si>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</si>
  <si>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</si>
  <si>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</si>
  <si>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</si>
  <si>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</si>
  <si>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</si>
  <si>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</si>
  <si>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</si>
  <si>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</si>
  <si>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</si>
  <si>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</si>
  <si>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</si>
  <si>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</si>
  <si>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</si>
  <si>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</si>
  <si>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</si>
  <si>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</si>
  <si>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</si>
  <si>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</si>
  <si>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</si>
  <si>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</si>
  <si>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</si>
  <si>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</si>
  <si>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</si>
  <si>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</si>
  <si>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</si>
  <si>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</si>
  <si>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</si>
  <si>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</si>
  <si>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</si>
  <si>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</si>
  <si>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</si>
  <si>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</si>
  <si>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</si>
  <si>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</si>
  <si>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</si>
  <si>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</si>
  <si>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</si>
  <si>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</si>
  <si>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</si>
  <si>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</si>
  <si>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</si>
  <si>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</si>
  <si>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</si>
  <si>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</si>
  <si>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</si>
  <si>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</si>
  <si>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</si>
  <si>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</si>
  <si>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</si>
  <si>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</si>
  <si>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</si>
  <si>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</si>
  <si>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</si>
  <si>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</si>
  <si>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</si>
  <si>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</si>
  <si>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</si>
  <si>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</si>
  <si>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</si>
  <si>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</si>
  <si>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</si>
  <si>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</si>
  <si>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</si>
  <si>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</si>
  <si>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</si>
  <si>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</si>
  <si>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</si>
  <si>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</si>
  <si>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</si>
  <si>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</si>
  <si>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</si>
  <si>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</si>
  <si>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</si>
  <si>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</si>
  <si>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</si>
  <si>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</si>
  <si>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</si>
  <si>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</si>
  <si>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</si>
  <si>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</si>
  <si>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</si>
  <si>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</si>
  <si>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</si>
  <si>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</si>
  <si>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</si>
  <si>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</si>
  <si>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</si>
  <si>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</si>
  <si>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</si>
  <si>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</si>
  <si>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</si>
  <si>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</si>
  <si>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</si>
  <si>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</si>
  <si>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</si>
  <si>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</si>
  <si>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</si>
  <si>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</si>
  <si>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</si>
  <si>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</si>
  <si>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</si>
  <si>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</si>
  <si>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</si>
  <si>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</si>
  <si>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</si>
  <si>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</si>
  <si>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</si>
  <si>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</si>
  <si>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</si>
  <si>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</si>
  <si>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</si>
  <si>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</si>
  <si>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</si>
  <si>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</si>
  <si>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</si>
  <si>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</si>
  <si>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</si>
  <si>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</si>
  <si>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</si>
  <si>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</si>
  <si>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</si>
  <si>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</si>
  <si>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</si>
  <si>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</si>
  <si>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</si>
  <si>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</si>
  <si>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</si>
  <si>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</si>
  <si>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</si>
  <si>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</si>
  <si>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</si>
  <si>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</si>
  <si>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</si>
  <si>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</si>
  <si>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</si>
  <si>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</si>
  <si>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</si>
  <si>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</si>
  <si>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</si>
  <si>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</si>
  <si>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</si>
  <si>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</si>
  <si>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</si>
  <si>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</si>
  <si>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</si>
  <si>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</si>
  <si>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</si>
  <si>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</si>
  <si>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</si>
  <si>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</si>
  <si>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</si>
  <si>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</si>
  <si>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</si>
  <si>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</si>
  <si>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</si>
  <si>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</si>
  <si>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</si>
  <si>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</si>
  <si>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</si>
  <si>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</si>
  <si>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</si>
  <si>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</si>
  <si>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</si>
  <si>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</si>
  <si>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</si>
  <si>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</si>
  <si>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</si>
  <si>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</si>
  <si>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</si>
  <si>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</si>
  <si>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</si>
  <si>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</si>
  <si>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</si>
  <si>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</si>
  <si>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</si>
  <si>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</si>
  <si>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</si>
  <si>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</si>
  <si>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</si>
  <si>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</si>
  <si>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</si>
  <si>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</si>
  <si>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</si>
  <si>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</si>
  <si>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</si>
  <si>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</si>
  <si>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</si>
  <si>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</si>
  <si>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</si>
  <si>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</si>
  <si>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</si>
  <si>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</si>
  <si>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</si>
  <si>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</si>
  <si>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</si>
  <si>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</si>
  <si>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</si>
  <si>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</si>
  <si>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</si>
  <si>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</si>
  <si>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</si>
  <si>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</si>
  <si>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</si>
  <si>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</si>
  <si>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</si>
  <si>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</si>
  <si>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</si>
  <si>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</si>
  <si>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</si>
  <si>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</si>
  <si>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</si>
  <si>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</si>
  <si>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</si>
  <si>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</si>
  <si>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</si>
  <si>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</si>
  <si>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</si>
  <si>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</si>
  <si>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</si>
  <si>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</si>
  <si>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</si>
  <si>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</si>
  <si>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</si>
  <si>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</si>
  <si>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</si>
  <si>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</si>
  <si>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</si>
  <si>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</si>
  <si>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</si>
  <si>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</si>
  <si>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</si>
  <si>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</si>
  <si>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</si>
  <si>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</si>
  <si>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</si>
  <si>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</si>
  <si>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</si>
  <si>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</si>
  <si>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</si>
  <si>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</si>
  <si>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</si>
  <si>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</si>
  <si>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</si>
  <si>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</si>
  <si>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</si>
  <si>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</si>
  <si>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</si>
  <si>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</si>
  <si>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</si>
  <si>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</si>
  <si>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</si>
  <si>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</si>
  <si>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</si>
  <si>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</si>
  <si>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</si>
  <si>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</si>
  <si>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</si>
  <si>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</si>
  <si>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</si>
  <si>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</si>
  <si>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</si>
  <si>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</si>
  <si>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</si>
  <si>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</si>
  <si>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</si>
  <si>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</si>
  <si>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</si>
  <si>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</si>
  <si>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</si>
  <si>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</si>
  <si>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</si>
  <si>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</si>
  <si>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</si>
  <si>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</si>
  <si>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</si>
  <si>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</si>
  <si>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</si>
  <si>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</si>
  <si>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</si>
  <si>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</si>
  <si>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</si>
  <si>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</si>
  <si>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</si>
  <si>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</si>
  <si>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</si>
  <si>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</si>
  <si>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</si>
  <si>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</si>
  <si>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</si>
  <si>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</si>
  <si>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</si>
  <si>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</si>
  <si>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</si>
  <si>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</si>
  <si>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</si>
  <si>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</si>
  <si>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</si>
  <si>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</si>
  <si>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</si>
  <si>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</si>
  <si>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</si>
  <si>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</si>
  <si>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</si>
  <si>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</si>
  <si>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</si>
  <si>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</si>
  <si>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</si>
  <si>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</si>
  <si>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</si>
  <si>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</si>
  <si>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</si>
  <si>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</si>
  <si>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</si>
  <si>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</si>
  <si>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</si>
  <si>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</si>
  <si>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</si>
  <si>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</si>
  <si>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</si>
  <si>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</si>
  <si>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</si>
  <si>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</si>
  <si>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</si>
  <si>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</si>
  <si>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</si>
  <si>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</si>
  <si>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</si>
  <si>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</si>
  <si>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</si>
  <si>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</si>
  <si>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</si>
  <si>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</si>
  <si>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</si>
  <si>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</si>
  <si>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</si>
  <si>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</si>
  <si>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</si>
  <si>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</si>
  <si>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</si>
  <si>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</si>
  <si>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</si>
  <si>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</si>
  <si>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</si>
  <si>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</si>
  <si>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</si>
  <si>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</si>
  <si>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</si>
  <si>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</si>
  <si>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</si>
  <si>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</si>
  <si>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</si>
  <si>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</si>
  <si>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</si>
  <si>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</si>
  <si>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</si>
  <si>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</si>
  <si>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</si>
  <si>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</si>
  <si>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</si>
  <si>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</si>
  <si>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</si>
  <si>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</si>
  <si>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</si>
  <si>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</si>
  <si>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</si>
  <si>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</si>
  <si>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</si>
  <si>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</si>
  <si>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</si>
  <si>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</si>
  <si>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</si>
  <si>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</si>
  <si>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</si>
  <si>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</si>
  <si>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</si>
  <si>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</si>
  <si>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</si>
  <si>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</si>
  <si>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</si>
  <si>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</si>
  <si>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</si>
  <si>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</si>
  <si>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</si>
  <si>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</si>
  <si>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</si>
  <si>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</si>
  <si>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</si>
  <si>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</si>
  <si>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</si>
  <si>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</si>
  <si>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</si>
  <si>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</si>
  <si>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</si>
  <si>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</si>
  <si>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</si>
  <si>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</si>
  <si>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</si>
  <si>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</si>
  <si>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</si>
  <si>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</si>
  <si>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</si>
  <si>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</si>
  <si>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</si>
  <si>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</si>
  <si>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</si>
  <si>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</si>
  <si>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</si>
  <si>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</si>
  <si>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</si>
  <si>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</si>
  <si>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</si>
  <si>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</si>
  <si>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</si>
  <si>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</si>
  <si>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</si>
  <si>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</si>
  <si>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</si>
  <si>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</si>
  <si>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</si>
  <si>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</si>
  <si>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</si>
  <si>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</si>
  <si>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</si>
  <si>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</si>
  <si>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</si>
  <si>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</si>
  <si>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</si>
  <si>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</si>
  <si>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</si>
  <si>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</si>
  <si>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</si>
  <si>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</si>
  <si>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</si>
  <si>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</si>
  <si>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</si>
  <si>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</si>
  <si>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</si>
  <si>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</si>
  <si>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</si>
  <si>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</si>
  <si>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</si>
  <si>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</si>
  <si>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</si>
  <si>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</si>
  <si>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</si>
  <si>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</si>
  <si>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</si>
  <si>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</si>
  <si>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</si>
  <si>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</si>
  <si>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</si>
  <si>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</si>
  <si>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</si>
  <si>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</si>
  <si>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</si>
  <si>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</si>
  <si>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</si>
  <si>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</si>
  <si>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</si>
  <si>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</si>
  <si>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</si>
  <si>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</si>
  <si>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</si>
  <si>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</si>
  <si>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</si>
  <si>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</si>
  <si>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</si>
  <si>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</si>
  <si>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</si>
  <si>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</si>
  <si>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</si>
  <si>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</si>
  <si>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</si>
  <si>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</si>
  <si>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</si>
  <si>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</si>
  <si>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</si>
  <si>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</si>
  <si>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</si>
  <si>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</si>
  <si>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</si>
  <si>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</si>
  <si>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</si>
  <si>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</si>
  <si>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</si>
  <si>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</si>
  <si>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</si>
  <si>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</si>
  <si>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</si>
  <si>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</si>
  <si>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</si>
  <si>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</si>
  <si>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</si>
  <si>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</si>
  <si>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</si>
  <si>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</si>
  <si>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</si>
  <si>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</si>
  <si>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</si>
  <si>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</si>
  <si>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</si>
  <si>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</si>
  <si>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</si>
  <si>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</si>
  <si>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</si>
  <si>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</si>
  <si>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</si>
  <si>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</si>
  <si>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</si>
  <si>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</si>
  <si>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</si>
  <si>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</si>
  <si>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</si>
  <si>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</si>
  <si>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</si>
  <si>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</si>
  <si>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</si>
  <si>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</si>
  <si>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</si>
  <si>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</si>
  <si>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</si>
  <si>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</si>
  <si>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</si>
  <si>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</si>
  <si>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</si>
  <si>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</si>
  <si>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</si>
  <si>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</si>
  <si>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</si>
  <si>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</si>
  <si>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</si>
  <si>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</si>
  <si>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</si>
  <si>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</si>
  <si>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</si>
  <si>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</si>
  <si>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</si>
  <si>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</si>
  <si>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</si>
  <si>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</si>
  <si>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</si>
  <si>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</si>
  <si>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</si>
  <si>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</si>
  <si>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</si>
  <si>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</si>
  <si>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</si>
  <si>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</si>
  <si>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</si>
  <si>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</si>
  <si>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</si>
  <si>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</si>
  <si>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</si>
  <si>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</si>
  <si>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</si>
  <si>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</si>
  <si>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</si>
  <si>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</si>
  <si>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</si>
  <si>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</si>
  <si>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</si>
  <si>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</si>
  <si>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</si>
  <si>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</si>
  <si>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</si>
  <si>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</si>
  <si>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</si>
  <si>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</si>
  <si>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</si>
  <si>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</si>
  <si>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</si>
  <si>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</si>
  <si>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</si>
  <si>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</si>
  <si>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</si>
  <si>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</si>
  <si>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</si>
  <si>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</si>
  <si>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</si>
  <si>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</si>
  <si>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</si>
  <si>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</si>
  <si>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</si>
  <si>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</si>
  <si>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</si>
  <si>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</si>
  <si>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</si>
  <si>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</si>
  <si>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</si>
  <si>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</si>
  <si>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</si>
  <si>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</si>
  <si>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</si>
  <si>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</si>
  <si>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</si>
  <si>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</si>
  <si>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</si>
  <si>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</si>
  <si>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</si>
  <si>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</si>
  <si>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</si>
  <si>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</si>
  <si>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</si>
  <si>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</si>
  <si>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</si>
  <si>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</si>
  <si>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</si>
  <si>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</si>
  <si>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</si>
  <si>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</si>
  <si>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</si>
  <si>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</si>
  <si>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</si>
  <si>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</si>
  <si>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</si>
  <si>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</si>
  <si>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</si>
  <si>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</si>
  <si>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</si>
  <si>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</si>
  <si>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</si>
  <si>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</si>
  <si>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</si>
  <si>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</si>
  <si>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</si>
  <si>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</si>
  <si>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</si>
  <si>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</si>
  <si>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</si>
  <si>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</si>
  <si>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</si>
  <si>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</si>
  <si>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</si>
  <si>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</si>
  <si>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</si>
  <si>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</si>
  <si>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</si>
  <si>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</si>
  <si>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</si>
  <si>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</si>
  <si>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</si>
  <si>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</si>
  <si>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</si>
  <si>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</si>
  <si>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</si>
  <si>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</si>
  <si>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</si>
  <si>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</si>
  <si>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</si>
  <si>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</si>
  <si>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</si>
  <si>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</si>
  <si>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</si>
  <si>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</si>
  <si>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</si>
  <si>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</si>
  <si>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</si>
  <si>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</si>
  <si>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</si>
  <si>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</si>
  <si>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</si>
  <si>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</si>
  <si>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</si>
  <si>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</si>
  <si>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</si>
  <si>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</si>
  <si>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</si>
  <si>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</si>
  <si>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</si>
  <si>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</si>
  <si>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</si>
  <si>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</si>
  <si>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</si>
  <si>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</si>
  <si>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</si>
  <si>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</si>
  <si>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</si>
  <si>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</si>
  <si>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</si>
  <si>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</si>
  <si>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</si>
  <si>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</si>
  <si>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</si>
  <si>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</si>
  <si>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</si>
  <si>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</si>
  <si>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</si>
  <si>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</si>
  <si>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</si>
  <si>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</si>
  <si>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</si>
  <si>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</si>
  <si>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</si>
  <si>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</si>
  <si>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</si>
  <si>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</si>
  <si>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</si>
  <si>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</si>
  <si>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</si>
  <si>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</si>
  <si>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</si>
  <si>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</si>
  <si>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</si>
  <si>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</si>
  <si>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</si>
  <si>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</si>
  <si>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</si>
  <si>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</si>
  <si>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</si>
  <si>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</si>
  <si>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</si>
  <si>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</si>
  <si>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</si>
  <si>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</si>
  <si>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</si>
  <si>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</si>
  <si>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</si>
  <si>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</si>
  <si>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</si>
  <si>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</si>
  <si>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</si>
  <si>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</si>
  <si>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</si>
  <si>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</si>
  <si>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</si>
  <si>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</si>
  <si>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</si>
  <si>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</si>
  <si>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</si>
  <si>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</si>
  <si>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</si>
  <si>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</si>
  <si>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</si>
  <si>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</si>
  <si>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</si>
  <si>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</si>
  <si>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</si>
  <si>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</si>
  <si>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</si>
  <si>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</si>
  <si>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</si>
  <si>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</si>
  <si>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</si>
  <si>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</si>
  <si>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</si>
  <si>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</si>
  <si>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</si>
  <si>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</si>
  <si>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</si>
  <si>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</si>
  <si>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</si>
  <si>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</si>
  <si>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</si>
  <si>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</si>
  <si>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</si>
  <si>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</si>
  <si>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</si>
  <si>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</si>
  <si>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</si>
  <si>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</si>
  <si>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</si>
  <si>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</si>
  <si>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</si>
  <si>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</si>
  <si>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</si>
  <si>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</si>
  <si>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</si>
  <si>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</si>
  <si>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</si>
  <si>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</si>
  <si>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</si>
  <si>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</si>
  <si>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</si>
  <si>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</si>
  <si>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</si>
  <si>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</si>
  <si>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</si>
  <si>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</si>
  <si>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</si>
  <si>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</si>
  <si>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</si>
  <si>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</si>
  <si>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</si>
  <si>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</si>
  <si>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</si>
  <si>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</si>
  <si>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</si>
  <si>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</si>
  <si>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</si>
  <si>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</si>
  <si>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</si>
  <si>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</si>
  <si>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</si>
  <si>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</si>
  <si>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</si>
  <si>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</si>
  <si>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</si>
  <si>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</si>
  <si>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</si>
  <si>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</si>
  <si>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</si>
  <si>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Xây Dưng Đ &amp; T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</si>
  <si>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</si>
  <si>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</si>
  <si>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</si>
  <si>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</si>
  <si>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</si>
  <si>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</si>
  <si>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</si>
  <si>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</si>
  <si>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</si>
  <si>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</si>
  <si>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</si>
  <si>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</si>
  <si>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</si>
  <si>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</si>
  <si>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</si>
  <si>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</si>
  <si>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</si>
  <si>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</si>
  <si>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</si>
  <si>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</si>
  <si>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</si>
  <si>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</si>
  <si>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</si>
  <si>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</si>
  <si>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</si>
  <si>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</si>
  <si>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</si>
  <si>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</si>
  <si>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</si>
  <si>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Tiền điện kỳ 3 T07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</si>
  <si>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</si>
  <si>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</si>
  <si>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</si>
  <si>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</si>
  <si>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</si>
  <si>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</si>
  <si>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</si>
  <si>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</si>
  <si>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</si>
  <si>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</si>
  <si>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</si>
  <si>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</si>
  <si>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</si>
  <si>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</si>
  <si>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</si>
  <si>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</si>
  <si>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</si>
  <si>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</si>
  <si>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</si>
  <si>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</si>
  <si>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</si>
  <si>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</si>
  <si>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</si>
  <si>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</si>
  <si>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</si>
  <si>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</si>
  <si>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</si>
  <si>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</si>
  <si>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</si>
  <si>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</si>
  <si>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</si>
  <si>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</si>
  <si>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</si>
  <si>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</si>
  <si>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</si>
  <si>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</si>
  <si>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</si>
  <si>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</si>
  <si>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</si>
  <si>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</si>
  <si>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</si>
  <si>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</si>
  <si>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</si>
  <si>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</si>
  <si>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</si>
  <si>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</si>
  <si>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</si>
  <si>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</si>
  <si>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</si>
  <si>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</si>
  <si>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</si>
  <si>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</si>
  <si>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</si>
  <si>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</si>
  <si>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</si>
  <si>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</si>
  <si>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</si>
  <si>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</si>
  <si>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</si>
  <si>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</si>
  <si>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</si>
  <si>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</si>
  <si>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</si>
  <si>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</si>
  <si>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</si>
  <si>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</si>
  <si>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</si>
  <si>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</si>
  <si>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</si>
  <si>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</si>
  <si>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</si>
  <si>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</si>
  <si>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</si>
  <si>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</si>
  <si>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</si>
  <si>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</si>
  <si>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</si>
  <si>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</si>
  <si>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</si>
  <si>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</si>
  <si>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</si>
  <si>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</si>
  <si>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</si>
  <si>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</si>
  <si>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</si>
  <si>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</si>
  <si>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</si>
  <si>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</si>
  <si>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</si>
  <si>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</si>
  <si>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</si>
  <si>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</si>
  <si>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</si>
  <si>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</si>
  <si>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</si>
  <si>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</si>
  <si>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</si>
  <si>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</si>
  <si>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</si>
  <si>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</si>
  <si>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</si>
  <si>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</si>
  <si>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</si>
  <si>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</si>
  <si>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</si>
  <si>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</si>
  <si>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</si>
  <si>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</si>
  <si>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</si>
  <si>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</si>
  <si>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Tiền Code AL</t>
  </si>
  <si>
    <t>Phí kiểm hàng (kiểm nghiệm Nafi)</t>
  </si>
  <si>
    <t>Phí chiếu xạ, hàng mẫu</t>
  </si>
  <si>
    <t>Phí cấp Health &amp; CO</t>
  </si>
  <si>
    <t>Tiền tàu (container : 680USD)</t>
  </si>
  <si>
    <t>Phí Chứng từ (Bill,THC,Seal)</t>
  </si>
  <si>
    <t>Phí xe kéo cont nội địa (nâng hạ)</t>
  </si>
  <si>
    <t>VNĐ/Kg =</t>
  </si>
  <si>
    <t>Phí chuyển Bill Surrender</t>
  </si>
  <si>
    <t>Phí gửi bộ chứng từ qua Trung Quốc</t>
  </si>
  <si>
    <t>Phi lưu kho</t>
  </si>
  <si>
    <t>Phí lưu kho:</t>
  </si>
  <si>
    <t>Cá cơm</t>
  </si>
  <si>
    <t>Số ngày LK</t>
  </si>
  <si>
    <t>ĐƠN GIÁ tấn/ngày</t>
  </si>
  <si>
    <t>CHI PHÍ XUAÁT HAØNG - CAÙ CÔM - SHOUSHAN (Cont 1,2,3,4 - 05&amp;12/08/16)</t>
  </si>
  <si>
    <t>Phí bốc xếp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</si>
  <si>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</si>
  <si>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</si>
  <si>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</si>
  <si>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</si>
  <si>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</si>
  <si>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</si>
  <si>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Phí dv, kiểm dịch</t>
  </si>
  <si>
    <t>Hoàng Anh</t>
  </si>
  <si>
    <t>THANH TOÁN:</t>
  </si>
  <si>
    <t>Cá cơm khô</t>
  </si>
  <si>
    <t>TỜ KHAI (lần 1): 05/08/16</t>
  </si>
  <si>
    <t>TỜ KHAI (lần 2): 12/08/16</t>
  </si>
  <si>
    <t>14/09/16 Chuyển NH</t>
  </si>
  <si>
    <t>CHUYỀN KHOẢN</t>
  </si>
  <si>
    <t>TIỀN (USD)</t>
  </si>
  <si>
    <t>Tiền hàng</t>
  </si>
  <si>
    <t>Nguyễn Đình Nguyên</t>
  </si>
  <si>
    <t>Hồ Thiên Trang</t>
  </si>
  <si>
    <t>Phí chuyển tiền ngân hàng 14/09/16</t>
  </si>
  <si>
    <t>Bùi Thị Diện</t>
  </si>
  <si>
    <t>CÒN LẠI CHI PHÍ:</t>
  </si>
  <si>
    <t>TỔNG CỘNG:</t>
  </si>
  <si>
    <t>Zhoushan 02</t>
  </si>
  <si>
    <t>47x34x11</t>
  </si>
  <si>
    <t>47x30x21</t>
  </si>
  <si>
    <t>49x30x10</t>
  </si>
  <si>
    <t>BHXH LA 09/2016</t>
  </si>
  <si>
    <t>Nước Hải Sơn T8&amp;9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</si>
  <si>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</si>
  <si>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</si>
  <si>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</si>
  <si>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</si>
  <si>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</si>
  <si>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</si>
  <si>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</si>
  <si>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</si>
  <si>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</si>
  <si>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</si>
  <si>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THEO DÕI HÀNG XUẤT TRUNG QUỐC</t>
  </si>
  <si>
    <t>NGÀY XUẤT</t>
  </si>
  <si>
    <t>TÊN TÀU</t>
  </si>
  <si>
    <t>SỐ CONT</t>
  </si>
  <si>
    <t>SỐ SEAL</t>
  </si>
  <si>
    <t>THÔNG TIN TÀU</t>
  </si>
  <si>
    <t>NGÀY TÀU ĐẾN</t>
  </si>
  <si>
    <t>THÔNG TIN HÀNG</t>
  </si>
  <si>
    <t>NGÀY TT</t>
  </si>
  <si>
    <t>TCLU1061797</t>
  </si>
  <si>
    <t>DFOU6114545</t>
  </si>
  <si>
    <t>BOMAR HANBURG V.1606 N</t>
  </si>
  <si>
    <t>DELOS WAVE V.1607N</t>
  </si>
  <si>
    <t>TRIU8795930</t>
  </si>
  <si>
    <t>TGHU9974981</t>
  </si>
  <si>
    <t>ZCSU5973547</t>
  </si>
  <si>
    <t>ZCSU5131045</t>
  </si>
  <si>
    <t>ZGLV143938/RH40 (CY/CY)</t>
  </si>
  <si>
    <t>ZGLV141257/RH40 (CY/CY)</t>
  </si>
  <si>
    <t>PHILIPPOS - MICHALIS/21N</t>
  </si>
  <si>
    <t>Zhoushan 03</t>
  </si>
  <si>
    <t>Xăng dầu Trà Vinh</t>
  </si>
  <si>
    <t>Dầu</t>
  </si>
  <si>
    <t>BẢNG ĐỐI CHIẾU CÔNG NỢ THÁNG NĂM 2016</t>
  </si>
  <si>
    <t>Ánh Dương</t>
  </si>
  <si>
    <t>Phí dịch vụ</t>
  </si>
  <si>
    <t>Cước vận tải QT</t>
  </si>
  <si>
    <t>Cont ngày 28/09/16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</si>
</sst>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</numFmts>
  <fonts count="5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29" fillId="0" borderId="0" applyFont="0" applyFill="0" applyBorder="0" applyAlignment="0" applyProtection="0"/>
    <xf numFmtId="0" fontId="29" fillId="0" borderId="0"/>
    <xf numFmtId="3" fontId="33" fillId="3" borderId="4"/>
    <xf numFmtId="0" fontId="33" fillId="3" borderId="4">
      <alignment horizontal="centerContinuous" vertical="center" wrapText="1"/>
    </xf>
    <xf numFmtId="3" fontId="33" fillId="3" borderId="4">
      <alignment horizontal="center" vertical="center" wrapText="1"/>
    </xf>
    <xf numFmtId="3" fontId="33" fillId="0" borderId="20"/>
    <xf numFmtId="3" fontId="34" fillId="0" borderId="21"/>
    <xf numFmtId="3" fontId="33" fillId="0" borderId="4">
      <alignment horizontal="center" vertical="center" wrapText="1"/>
    </xf>
    <xf numFmtId="3" fontId="33" fillId="0" borderId="4">
      <alignment horizontal="centerContinuous" vertical="center"/>
    </xf>
    <xf numFmtId="0" fontId="35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11" fillId="0" borderId="0"/>
  </cellStyleXfs>
  <cellXfs count="64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7" fillId="0" borderId="5" xfId="12" applyNumberFormat="1" applyFont="1" applyBorder="1" applyAlignment="1">
      <alignment horizontal="center"/>
    </xf>
    <xf numFmtId="1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27" fillId="0" borderId="9" xfId="12" applyNumberFormat="1" applyFont="1" applyBorder="1" applyAlignment="1">
      <alignment horizont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8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8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8" fillId="0" borderId="0" xfId="26" applyFont="1" applyAlignment="1">
      <alignment horizontal="left" vertical="center"/>
    </xf>
    <xf numFmtId="167" fontId="28" fillId="0" borderId="0" xfId="25" applyNumberFormat="1" applyFont="1" applyAlignment="1">
      <alignment horizontal="center" vertical="center" wrapText="1"/>
    </xf>
    <xf numFmtId="167" fontId="28" fillId="0" borderId="0" xfId="27" applyNumberFormat="1" applyFont="1" applyAlignment="1">
      <alignment horizontal="center" vertical="center" wrapText="1"/>
    </xf>
    <xf numFmtId="167" fontId="28" fillId="0" borderId="0" xfId="28" applyNumberFormat="1" applyFont="1" applyAlignment="1">
      <alignment vertical="center"/>
    </xf>
    <xf numFmtId="167" fontId="28" fillId="0" borderId="0" xfId="28" applyNumberFormat="1" applyFont="1" applyAlignment="1">
      <alignment horizontal="left" vertical="center"/>
    </xf>
    <xf numFmtId="167" fontId="28" fillId="0" borderId="0" xfId="27" applyNumberFormat="1" applyFont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28" fillId="0" borderId="4" xfId="27" applyNumberFormat="1" applyFont="1" applyBorder="1" applyAlignment="1">
      <alignment horizontal="center" vertical="center" wrapText="1"/>
    </xf>
    <xf numFmtId="167" fontId="30" fillId="0" borderId="19" xfId="28" applyNumberFormat="1" applyFont="1" applyBorder="1" applyAlignment="1">
      <alignment horizontal="center" vertical="center" wrapText="1"/>
    </xf>
    <xf numFmtId="167" fontId="30" fillId="0" borderId="19" xfId="27" applyNumberFormat="1" applyFont="1" applyBorder="1" applyAlignment="1">
      <alignment horizontal="center" vertical="center" wrapText="1"/>
    </xf>
    <xf numFmtId="167" fontId="30" fillId="0" borderId="0" xfId="28" applyNumberFormat="1" applyFont="1" applyAlignment="1">
      <alignment vertical="center"/>
    </xf>
    <xf numFmtId="167" fontId="28" fillId="0" borderId="5" xfId="28" applyNumberFormat="1" applyFont="1" applyBorder="1" applyAlignment="1">
      <alignment vertical="center" wrapText="1"/>
    </xf>
    <xf numFmtId="167" fontId="28" fillId="0" borderId="5" xfId="28" applyNumberFormat="1" applyFont="1" applyBorder="1" applyAlignment="1">
      <alignment horizontal="left" vertical="center" wrapText="1"/>
    </xf>
    <xf numFmtId="167" fontId="28" fillId="0" borderId="5" xfId="27" applyNumberFormat="1" applyFont="1" applyBorder="1" applyAlignment="1">
      <alignment vertical="center" wrapText="1"/>
    </xf>
    <xf numFmtId="14" fontId="28" fillId="0" borderId="5" xfId="28" applyNumberFormat="1" applyFont="1" applyBorder="1" applyAlignment="1">
      <alignment horizontal="center" vertical="center" wrapText="1"/>
    </xf>
    <xf numFmtId="167" fontId="28" fillId="0" borderId="5" xfId="27" applyNumberFormat="1" applyFont="1" applyBorder="1" applyAlignment="1">
      <alignment horizontal="left" vertical="center" wrapText="1"/>
    </xf>
    <xf numFmtId="167" fontId="28" fillId="0" borderId="5" xfId="28" applyNumberFormat="1" applyFont="1" applyBorder="1" applyAlignment="1">
      <alignment horizontal="center" vertical="center" wrapText="1"/>
    </xf>
    <xf numFmtId="167" fontId="31" fillId="0" borderId="5" xfId="28" applyNumberFormat="1" applyFont="1" applyBorder="1" applyAlignment="1">
      <alignment horizontal="center" vertical="center" wrapText="1"/>
    </xf>
    <xf numFmtId="167" fontId="28" fillId="0" borderId="8" xfId="28" applyNumberFormat="1" applyFont="1" applyBorder="1" applyAlignment="1">
      <alignment vertical="center" wrapText="1"/>
    </xf>
    <xf numFmtId="167" fontId="28" fillId="0" borderId="8" xfId="28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vertical="center" wrapText="1"/>
    </xf>
    <xf numFmtId="167" fontId="28" fillId="0" borderId="0" xfId="28" quotePrefix="1" applyNumberFormat="1" applyFont="1" applyAlignment="1">
      <alignment vertical="center"/>
    </xf>
    <xf numFmtId="0" fontId="32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8" fillId="0" borderId="0" xfId="25" applyFont="1" applyAlignment="1">
      <alignment horizontal="center" vertical="center"/>
    </xf>
    <xf numFmtId="167" fontId="28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7" fillId="0" borderId="0" xfId="39" applyNumberFormat="1" applyFont="1"/>
    <xf numFmtId="0" fontId="38" fillId="0" borderId="0" xfId="39" applyNumberFormat="1" applyFont="1" applyAlignment="1">
      <alignment horizontal="center"/>
    </xf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0" fontId="38" fillId="0" borderId="0" xfId="39" applyNumberFormat="1" applyFont="1" applyAlignment="1">
      <alignment horizontal="center" vertical="center" wrapText="1"/>
    </xf>
    <xf numFmtId="0" fontId="37" fillId="0" borderId="4" xfId="39" applyNumberFormat="1" applyFont="1" applyBorder="1" applyAlignment="1">
      <alignment horizontal="center"/>
    </xf>
    <xf numFmtId="0" fontId="39" fillId="0" borderId="4" xfId="39" applyNumberFormat="1" applyFont="1" applyBorder="1" applyAlignment="1" applyProtection="1">
      <alignment vertical="center"/>
    </xf>
    <xf numFmtId="166" fontId="39" fillId="0" borderId="4" xfId="40" applyNumberFormat="1" applyFont="1" applyBorder="1" applyAlignment="1" applyProtection="1">
      <alignment vertical="center"/>
    </xf>
    <xf numFmtId="43" fontId="39" fillId="0" borderId="4" xfId="40" applyFont="1" applyBorder="1" applyAlignment="1" applyProtection="1">
      <alignment vertical="center"/>
    </xf>
    <xf numFmtId="43" fontId="37" fillId="0" borderId="4" xfId="40" applyFont="1" applyBorder="1"/>
    <xf numFmtId="43" fontId="38" fillId="0" borderId="4" xfId="40" applyFont="1" applyBorder="1" applyAlignment="1">
      <alignment vertical="center"/>
    </xf>
    <xf numFmtId="0" fontId="39" fillId="0" borderId="0" xfId="39" applyNumberFormat="1" applyFont="1" applyBorder="1" applyAlignment="1" applyProtection="1">
      <alignment vertical="center"/>
    </xf>
    <xf numFmtId="43" fontId="38" fillId="0" borderId="0" xfId="40" applyFont="1" applyBorder="1"/>
    <xf numFmtId="0" fontId="40" fillId="0" borderId="0" xfId="39" applyNumberFormat="1" applyFont="1" applyBorder="1" applyAlignment="1" applyProtection="1">
      <alignment vertical="center"/>
    </xf>
    <xf numFmtId="43" fontId="38" fillId="0" borderId="0" xfId="39" applyNumberFormat="1" applyFont="1" applyBorder="1"/>
    <xf numFmtId="0" fontId="38" fillId="0" borderId="0" xfId="39" applyNumberFormat="1" applyFont="1"/>
    <xf numFmtId="0" fontId="38" fillId="0" borderId="0" xfId="39" applyNumberFormat="1" applyFont="1" applyBorder="1" applyAlignment="1">
      <alignment horizontal="center"/>
    </xf>
    <xf numFmtId="49" fontId="41" fillId="0" borderId="0" xfId="39" applyNumberFormat="1" applyFont="1" applyAlignment="1"/>
    <xf numFmtId="49" fontId="37" fillId="0" borderId="0" xfId="39" applyNumberFormat="1" applyFont="1" applyAlignment="1"/>
    <xf numFmtId="14" fontId="41" fillId="0" borderId="0" xfId="39" applyNumberFormat="1" applyFont="1" applyAlignment="1"/>
    <xf numFmtId="43" fontId="37" fillId="0" borderId="0" xfId="40" applyFont="1"/>
    <xf numFmtId="0" fontId="36" fillId="0" borderId="0" xfId="39" applyNumberFormat="1" applyFont="1" applyBorder="1" applyAlignment="1"/>
    <xf numFmtId="0" fontId="42" fillId="0" borderId="0" xfId="39" applyNumberFormat="1" applyFont="1" applyBorder="1"/>
    <xf numFmtId="49" fontId="39" fillId="0" borderId="4" xfId="39" applyNumberFormat="1" applyFont="1" applyBorder="1" applyAlignment="1" applyProtection="1">
      <alignment vertical="center" wrapText="1"/>
    </xf>
    <xf numFmtId="49" fontId="43" fillId="0" borderId="0" xfId="39" applyNumberFormat="1" applyFont="1" applyBorder="1" applyAlignment="1" applyProtection="1">
      <alignment vertical="center" wrapText="1"/>
    </xf>
    <xf numFmtId="0" fontId="37" fillId="0" borderId="0" xfId="39" applyNumberFormat="1" applyFont="1" applyBorder="1"/>
    <xf numFmtId="0" fontId="37" fillId="0" borderId="0" xfId="39" applyNumberFormat="1" applyFont="1" applyAlignment="1"/>
    <xf numFmtId="0" fontId="37" fillId="0" borderId="4" xfId="39" applyNumberFormat="1" applyFont="1" applyBorder="1" applyAlignment="1">
      <alignment horizontal="center" vertical="center" wrapText="1"/>
    </xf>
    <xf numFmtId="166" fontId="37" fillId="0" borderId="4" xfId="40" applyNumberFormat="1" applyFont="1" applyBorder="1" applyAlignment="1">
      <alignment horizontal="center" vertical="center" wrapText="1"/>
    </xf>
    <xf numFmtId="43" fontId="37" fillId="0" borderId="4" xfId="40" applyFont="1" applyBorder="1" applyAlignment="1">
      <alignment horizontal="center" vertical="center" wrapText="1"/>
    </xf>
    <xf numFmtId="43" fontId="37" fillId="0" borderId="4" xfId="40" applyFont="1" applyBorder="1" applyAlignment="1">
      <alignment vertical="center"/>
    </xf>
    <xf numFmtId="0" fontId="37" fillId="0" borderId="0" xfId="39" applyNumberFormat="1" applyFont="1" applyAlignment="1">
      <alignment horizontal="center" vertical="center" wrapText="1"/>
    </xf>
    <xf numFmtId="166" fontId="37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2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6" fillId="0" borderId="5" xfId="12" applyNumberFormat="1" applyFont="1" applyBorder="1" applyAlignment="1">
      <alignment horizontal="center"/>
    </xf>
    <xf numFmtId="0" fontId="46" fillId="0" borderId="0" xfId="12" applyFont="1"/>
    <xf numFmtId="167" fontId="47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8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7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6" fillId="0" borderId="9" xfId="12" applyNumberFormat="1" applyFont="1" applyBorder="1" applyAlignment="1">
      <alignment horizontal="center"/>
    </xf>
    <xf numFmtId="0" fontId="46" fillId="0" borderId="9" xfId="3" applyNumberFormat="1" applyFont="1" applyBorder="1" applyAlignment="1">
      <alignment horizontal="center"/>
    </xf>
    <xf numFmtId="168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37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8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3" xfId="37" applyNumberFormat="1" applyFont="1" applyBorder="1" applyAlignment="1">
      <alignment horizontal="center"/>
    </xf>
    <xf numFmtId="0" fontId="4" fillId="0" borderId="23" xfId="37" applyFont="1" applyBorder="1" applyAlignment="1">
      <alignment horizontal="center"/>
    </xf>
    <xf numFmtId="49" fontId="4" fillId="0" borderId="23" xfId="42" applyNumberFormat="1" applyFont="1" applyBorder="1" applyAlignment="1">
      <alignment horizontal="center"/>
    </xf>
    <xf numFmtId="166" fontId="4" fillId="0" borderId="23" xfId="42" applyNumberFormat="1" applyFont="1" applyBorder="1" applyAlignment="1">
      <alignment horizontal="center"/>
    </xf>
    <xf numFmtId="43" fontId="4" fillId="0" borderId="23" xfId="42" applyNumberFormat="1" applyFont="1" applyBorder="1" applyAlignment="1">
      <alignment horizontal="center"/>
    </xf>
    <xf numFmtId="167" fontId="4" fillId="0" borderId="23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38" fillId="0" borderId="0" xfId="1" applyNumberFormat="1" applyFont="1"/>
    <xf numFmtId="0" fontId="5" fillId="0" borderId="0" xfId="44" applyFont="1" applyAlignment="1">
      <alignment vertical="center"/>
    </xf>
    <xf numFmtId="0" fontId="4" fillId="0" borderId="0" xfId="44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0" borderId="0" xfId="44" applyFont="1" applyAlignment="1">
      <alignment horizontal="center" vertical="center" wrapText="1"/>
    </xf>
    <xf numFmtId="0" fontId="5" fillId="0" borderId="4" xfId="44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5" fillId="0" borderId="4" xfId="1" applyNumberFormat="1" applyFont="1" applyBorder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5" fillId="0" borderId="3" xfId="44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167" fontId="5" fillId="0" borderId="3" xfId="1" applyNumberFormat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6" fontId="4" fillId="0" borderId="5" xfId="1" applyNumberFormat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5" xfId="1" applyNumberFormat="1" applyFont="1" applyBorder="1" applyAlignment="1">
      <alignment vertical="center"/>
    </xf>
    <xf numFmtId="0" fontId="4" fillId="0" borderId="5" xfId="44" applyFont="1" applyBorder="1" applyAlignment="1">
      <alignment vertical="center"/>
    </xf>
    <xf numFmtId="167" fontId="4" fillId="0" borderId="5" xfId="44" applyNumberFormat="1" applyFont="1" applyBorder="1" applyAlignment="1">
      <alignment vertical="center"/>
    </xf>
    <xf numFmtId="0" fontId="4" fillId="0" borderId="9" xfId="44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7" fontId="4" fillId="0" borderId="9" xfId="44" applyNumberFormat="1" applyFont="1" applyBorder="1" applyAlignment="1">
      <alignment vertical="center"/>
    </xf>
    <xf numFmtId="0" fontId="4" fillId="0" borderId="8" xfId="44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43" fontId="4" fillId="0" borderId="8" xfId="1" applyFont="1" applyBorder="1" applyAlignment="1">
      <alignment vertical="center"/>
    </xf>
    <xf numFmtId="43" fontId="4" fillId="0" borderId="8" xfId="1" applyNumberFormat="1" applyFont="1" applyBorder="1" applyAlignment="1">
      <alignment vertical="center"/>
    </xf>
    <xf numFmtId="167" fontId="4" fillId="0" borderId="8" xfId="1" applyNumberFormat="1" applyFont="1" applyBorder="1" applyAlignment="1">
      <alignment vertical="center"/>
    </xf>
    <xf numFmtId="0" fontId="5" fillId="0" borderId="4" xfId="44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0" fontId="16" fillId="0" borderId="0" xfId="44" applyFont="1" applyAlignment="1">
      <alignment vertical="center"/>
    </xf>
    <xf numFmtId="167" fontId="16" fillId="0" borderId="0" xfId="1" applyNumberFormat="1" applyFont="1" applyBorder="1" applyAlignment="1">
      <alignment vertical="center"/>
    </xf>
    <xf numFmtId="43" fontId="4" fillId="0" borderId="0" xfId="44" applyNumberFormat="1" applyFont="1" applyAlignment="1">
      <alignment vertical="center"/>
    </xf>
    <xf numFmtId="0" fontId="5" fillId="0" borderId="0" xfId="44" applyFont="1" applyAlignment="1">
      <alignment vertical="center" wrapText="1"/>
    </xf>
    <xf numFmtId="0" fontId="4" fillId="0" borderId="6" xfId="44" applyFont="1" applyBorder="1" applyAlignment="1">
      <alignment horizontal="center" vertical="center"/>
    </xf>
    <xf numFmtId="176" fontId="4" fillId="0" borderId="0" xfId="44" applyNumberFormat="1" applyFont="1" applyAlignment="1">
      <alignment vertical="center"/>
    </xf>
    <xf numFmtId="0" fontId="4" fillId="0" borderId="5" xfId="44" applyFont="1" applyBorder="1" applyAlignment="1">
      <alignment horizontal="center" vertical="center"/>
    </xf>
    <xf numFmtId="167" fontId="4" fillId="0" borderId="9" xfId="1" applyNumberFormat="1" applyFont="1" applyBorder="1" applyAlignment="1">
      <alignment vertical="center"/>
    </xf>
    <xf numFmtId="14" fontId="4" fillId="0" borderId="9" xfId="44" applyNumberFormat="1" applyFont="1" applyBorder="1" applyAlignment="1">
      <alignment vertical="center"/>
    </xf>
    <xf numFmtId="167" fontId="5" fillId="0" borderId="0" xfId="44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" fontId="46" fillId="0" borderId="5" xfId="3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0" fontId="49" fillId="0" borderId="0" xfId="37" applyFont="1" applyAlignment="1">
      <alignment vertical="center"/>
    </xf>
    <xf numFmtId="0" fontId="50" fillId="0" borderId="0" xfId="37" applyFont="1" applyAlignment="1">
      <alignment vertical="center"/>
    </xf>
    <xf numFmtId="0" fontId="51" fillId="0" borderId="0" xfId="37" applyFont="1" applyAlignment="1">
      <alignment vertical="center"/>
    </xf>
    <xf numFmtId="166" fontId="50" fillId="0" borderId="0" xfId="38" applyNumberFormat="1" applyFont="1" applyAlignment="1">
      <alignment vertical="center"/>
    </xf>
    <xf numFmtId="167" fontId="50" fillId="0" borderId="0" xfId="38" applyNumberFormat="1" applyFont="1" applyAlignment="1">
      <alignment vertical="center"/>
    </xf>
    <xf numFmtId="0" fontId="51" fillId="0" borderId="4" xfId="37" applyFont="1" applyBorder="1" applyAlignment="1">
      <alignment vertical="center"/>
    </xf>
    <xf numFmtId="166" fontId="51" fillId="0" borderId="4" xfId="38" applyNumberFormat="1" applyFont="1" applyBorder="1" applyAlignment="1">
      <alignment horizontal="center" vertical="center" wrapText="1"/>
    </xf>
    <xf numFmtId="167" fontId="51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6" fontId="4" fillId="0" borderId="3" xfId="38" applyNumberFormat="1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6" fontId="4" fillId="0" borderId="5" xfId="38" applyNumberFormat="1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43" fontId="50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6" fontId="4" fillId="0" borderId="8" xfId="38" applyNumberFormat="1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6" fontId="5" fillId="0" borderId="4" xfId="38" applyNumberFormat="1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0" fontId="49" fillId="0" borderId="0" xfId="37" applyFont="1" applyAlignment="1">
      <alignment horizontal="center" vertical="center"/>
    </xf>
    <xf numFmtId="0" fontId="50" fillId="0" borderId="0" xfId="37" applyFont="1" applyAlignment="1">
      <alignment horizontal="center" vertical="center"/>
    </xf>
    <xf numFmtId="0" fontId="51" fillId="0" borderId="0" xfId="37" applyFont="1" applyAlignment="1">
      <alignment horizontal="center" vertical="center"/>
    </xf>
    <xf numFmtId="0" fontId="51" fillId="0" borderId="4" xfId="37" applyFont="1" applyBorder="1" applyAlignment="1">
      <alignment horizontal="center" vertical="center"/>
    </xf>
    <xf numFmtId="166" fontId="4" fillId="0" borderId="8" xfId="38" applyNumberFormat="1" applyFont="1" applyBorder="1" applyAlignment="1">
      <alignment horizontal="center" vertical="center"/>
    </xf>
    <xf numFmtId="167" fontId="4" fillId="0" borderId="8" xfId="38" applyNumberFormat="1" applyFont="1" applyBorder="1" applyAlignment="1">
      <alignment horizontal="center" vertical="center"/>
    </xf>
    <xf numFmtId="166" fontId="5" fillId="0" borderId="4" xfId="38" applyNumberFormat="1" applyFont="1" applyBorder="1" applyAlignment="1">
      <alignment horizontal="center" vertical="center"/>
    </xf>
    <xf numFmtId="167" fontId="5" fillId="0" borderId="4" xfId="38" applyNumberFormat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 vertical="center"/>
    </xf>
    <xf numFmtId="14" fontId="4" fillId="0" borderId="8" xfId="37" applyNumberFormat="1" applyFont="1" applyBorder="1" applyAlignment="1">
      <alignment horizontal="center" vertical="center"/>
    </xf>
    <xf numFmtId="14" fontId="4" fillId="0" borderId="6" xfId="37" applyNumberFormat="1" applyFont="1" applyBorder="1" applyAlignment="1">
      <alignment horizontal="center" vertical="center"/>
    </xf>
    <xf numFmtId="0" fontId="4" fillId="0" borderId="6" xfId="37" applyFont="1" applyBorder="1" applyAlignment="1">
      <alignment horizontal="left" vertical="center"/>
    </xf>
    <xf numFmtId="167" fontId="4" fillId="0" borderId="6" xfId="38" applyNumberFormat="1" applyFont="1" applyBorder="1" applyAlignment="1">
      <alignment horizontal="center" vertical="center"/>
    </xf>
    <xf numFmtId="0" fontId="51" fillId="0" borderId="4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/>
    </xf>
    <xf numFmtId="168" fontId="4" fillId="0" borderId="6" xfId="38" applyNumberFormat="1" applyFont="1" applyBorder="1" applyAlignment="1">
      <alignment horizontal="center" vertical="center"/>
    </xf>
    <xf numFmtId="168" fontId="4" fillId="0" borderId="5" xfId="38" applyNumberFormat="1" applyFont="1" applyBorder="1" applyAlignment="1">
      <alignment horizontal="center" vertical="center"/>
    </xf>
    <xf numFmtId="167" fontId="51" fillId="0" borderId="4" xfId="38" applyNumberFormat="1" applyFont="1" applyBorder="1" applyAlignment="1">
      <alignment horizontal="center" vertical="center" wrapText="1"/>
    </xf>
    <xf numFmtId="0" fontId="51" fillId="0" borderId="0" xfId="37" applyFont="1" applyAlignment="1">
      <alignment horizontal="left" vertic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6" fontId="5" fillId="0" borderId="4" xfId="27" applyNumberFormat="1" applyFont="1" applyBorder="1" applyAlignment="1">
      <alignment horizontal="center" vertical="center" wrapText="1"/>
    </xf>
    <xf numFmtId="167" fontId="5" fillId="0" borderId="4" xfId="27" applyNumberFormat="1" applyFont="1" applyBorder="1" applyAlignment="1">
      <alignment horizontal="center" vertical="center" wrapText="1"/>
    </xf>
    <xf numFmtId="166" fontId="4" fillId="0" borderId="5" xfId="27" applyNumberFormat="1" applyFont="1" applyBorder="1" applyAlignment="1">
      <alignment vertical="center"/>
    </xf>
    <xf numFmtId="43" fontId="4" fillId="0" borderId="5" xfId="27" applyFont="1" applyBorder="1" applyAlignment="1">
      <alignment vertical="center"/>
    </xf>
    <xf numFmtId="43" fontId="4" fillId="0" borderId="5" xfId="27" applyNumberFormat="1" applyFont="1" applyBorder="1" applyAlignment="1">
      <alignment vertical="center"/>
    </xf>
    <xf numFmtId="166" fontId="4" fillId="0" borderId="9" xfId="27" applyNumberFormat="1" applyFont="1" applyBorder="1" applyAlignment="1">
      <alignment vertical="center"/>
    </xf>
    <xf numFmtId="43" fontId="4" fillId="0" borderId="9" xfId="27" applyFont="1" applyBorder="1" applyAlignment="1">
      <alignment vertical="center"/>
    </xf>
    <xf numFmtId="43" fontId="4" fillId="0" borderId="9" xfId="27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27" applyNumberFormat="1" applyFont="1" applyBorder="1" applyAlignment="1">
      <alignment vertical="center"/>
    </xf>
    <xf numFmtId="43" fontId="5" fillId="0" borderId="9" xfId="27" applyFont="1" applyBorder="1" applyAlignment="1">
      <alignment vertical="center"/>
    </xf>
    <xf numFmtId="43" fontId="5" fillId="0" borderId="9" xfId="27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166" fontId="4" fillId="0" borderId="8" xfId="27" applyNumberFormat="1" applyFont="1" applyBorder="1" applyAlignment="1">
      <alignment vertical="center"/>
    </xf>
    <xf numFmtId="43" fontId="4" fillId="0" borderId="8" xfId="27" applyFont="1" applyBorder="1" applyAlignment="1">
      <alignment vertical="center"/>
    </xf>
    <xf numFmtId="43" fontId="4" fillId="0" borderId="8" xfId="27" applyNumberFormat="1" applyFont="1" applyBorder="1" applyAlignment="1">
      <alignment vertical="center"/>
    </xf>
    <xf numFmtId="167" fontId="4" fillId="0" borderId="8" xfId="27" applyNumberFormat="1" applyFont="1" applyBorder="1" applyAlignment="1">
      <alignment vertical="center"/>
    </xf>
    <xf numFmtId="166" fontId="5" fillId="0" borderId="4" xfId="27" applyNumberFormat="1" applyFont="1" applyBorder="1" applyAlignment="1">
      <alignment vertical="center"/>
    </xf>
    <xf numFmtId="0" fontId="5" fillId="0" borderId="0" xfId="44" applyFont="1" applyBorder="1" applyAlignment="1">
      <alignment vertical="center"/>
    </xf>
    <xf numFmtId="166" fontId="5" fillId="0" borderId="0" xfId="27" applyNumberFormat="1" applyFont="1" applyAlignment="1">
      <alignment vertical="center"/>
    </xf>
    <xf numFmtId="166" fontId="5" fillId="0" borderId="10" xfId="27" applyNumberFormat="1" applyFont="1" applyBorder="1" applyAlignment="1">
      <alignment vertical="center"/>
    </xf>
    <xf numFmtId="43" fontId="5" fillId="0" borderId="0" xfId="27" applyNumberFormat="1" applyFont="1" applyBorder="1" applyAlignment="1">
      <alignment vertical="center"/>
    </xf>
    <xf numFmtId="43" fontId="50" fillId="0" borderId="0" xfId="37" applyNumberFormat="1" applyFont="1" applyAlignment="1">
      <alignment horizontal="center" vertical="center"/>
    </xf>
    <xf numFmtId="167" fontId="30" fillId="0" borderId="0" xfId="1" applyNumberFormat="1" applyFont="1" applyAlignment="1">
      <alignment horizontal="center" vertical="center"/>
    </xf>
    <xf numFmtId="43" fontId="52" fillId="0" borderId="0" xfId="37" applyNumberFormat="1" applyFont="1" applyAlignment="1">
      <alignment horizontal="center" vertical="center"/>
    </xf>
    <xf numFmtId="167" fontId="51" fillId="0" borderId="0" xfId="38" applyNumberFormat="1" applyFont="1" applyAlignment="1">
      <alignment vertical="center"/>
    </xf>
    <xf numFmtId="167" fontId="51" fillId="0" borderId="0" xfId="37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53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 wrapText="1"/>
    </xf>
    <xf numFmtId="0" fontId="53" fillId="0" borderId="4" xfId="0" applyFont="1" applyBorder="1" applyAlignment="1">
      <alignment vertical="center"/>
    </xf>
    <xf numFmtId="0" fontId="52" fillId="0" borderId="6" xfId="0" applyFont="1" applyBorder="1" applyAlignment="1">
      <alignment horizontal="center" vertical="center"/>
    </xf>
    <xf numFmtId="0" fontId="52" fillId="0" borderId="23" xfId="0" applyFont="1" applyBorder="1" applyAlignment="1">
      <alignment horizontal="center" vertical="center"/>
    </xf>
    <xf numFmtId="43" fontId="53" fillId="0" borderId="4" xfId="1" applyFont="1" applyBorder="1" applyAlignment="1">
      <alignment vertical="center"/>
    </xf>
    <xf numFmtId="167" fontId="53" fillId="0" borderId="4" xfId="1" applyNumberFormat="1" applyFont="1" applyBorder="1" applyAlignment="1">
      <alignment vertical="center"/>
    </xf>
    <xf numFmtId="14" fontId="52" fillId="0" borderId="6" xfId="0" applyNumberFormat="1" applyFont="1" applyBorder="1" applyAlignment="1">
      <alignment horizontal="center" vertical="center"/>
    </xf>
    <xf numFmtId="14" fontId="52" fillId="0" borderId="5" xfId="0" applyNumberFormat="1" applyFont="1" applyBorder="1" applyAlignment="1">
      <alignment horizontal="center" vertical="center"/>
    </xf>
    <xf numFmtId="14" fontId="52" fillId="0" borderId="9" xfId="0" applyNumberFormat="1" applyFont="1" applyBorder="1" applyAlignment="1">
      <alignment horizontal="center" vertical="center"/>
    </xf>
    <xf numFmtId="167" fontId="52" fillId="0" borderId="6" xfId="1" applyNumberFormat="1" applyFont="1" applyBorder="1" applyAlignment="1">
      <alignment horizontal="center" vertical="center"/>
    </xf>
    <xf numFmtId="43" fontId="52" fillId="0" borderId="6" xfId="1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167" fontId="52" fillId="0" borderId="23" xfId="1" applyNumberFormat="1" applyFont="1" applyBorder="1" applyAlignment="1">
      <alignment horizontal="center" vertical="center"/>
    </xf>
    <xf numFmtId="43" fontId="52" fillId="0" borderId="23" xfId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46" fillId="4" borderId="5" xfId="3" applyNumberFormat="1" applyFont="1" applyFill="1" applyBorder="1" applyAlignment="1">
      <alignment horizont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center"/>
    </xf>
    <xf numFmtId="167" fontId="54" fillId="0" borderId="9" xfId="3" applyNumberFormat="1" applyFont="1" applyBorder="1" applyAlignment="1">
      <alignment horizontal="center"/>
    </xf>
    <xf numFmtId="167" fontId="54" fillId="4" borderId="5" xfId="3" applyNumberFormat="1" applyFont="1" applyFill="1" applyBorder="1" applyAlignment="1">
      <alignment horizontal="center"/>
    </xf>
    <xf numFmtId="167" fontId="54" fillId="0" borderId="9" xfId="3" applyNumberFormat="1" applyFont="1" applyBorder="1" applyAlignment="1">
      <alignment vertical="center"/>
    </xf>
    <xf numFmtId="0" fontId="54" fillId="0" borderId="0" xfId="12" applyFont="1"/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8" fillId="0" borderId="0" xfId="28" applyNumberFormat="1" applyFont="1" applyAlignment="1">
      <alignment horizontal="center" vertical="center"/>
    </xf>
    <xf numFmtId="167" fontId="28" fillId="0" borderId="12" xfId="28" applyNumberFormat="1" applyFont="1" applyBorder="1" applyAlignment="1">
      <alignment horizontal="center" vertical="center" wrapText="1"/>
    </xf>
    <xf numFmtId="167" fontId="28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7" xfId="12" applyNumberFormat="1" applyFont="1" applyBorder="1" applyAlignment="1">
      <alignment horizontal="center"/>
    </xf>
    <xf numFmtId="14" fontId="4" fillId="0" borderId="18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6" fillId="0" borderId="0" xfId="39" applyNumberFormat="1" applyFont="1" applyBorder="1" applyAlignment="1">
      <alignment horizontal="left"/>
    </xf>
    <xf numFmtId="0" fontId="38" fillId="0" borderId="0" xfId="39" applyNumberFormat="1" applyFont="1" applyBorder="1" applyAlignment="1">
      <alignment horizontal="center"/>
    </xf>
    <xf numFmtId="0" fontId="36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7" fillId="0" borderId="0" xfId="39" applyNumberFormat="1" applyFont="1" applyAlignment="1">
      <alignment horizontal="center"/>
    </xf>
    <xf numFmtId="49" fontId="37" fillId="0" borderId="0" xfId="39" applyNumberFormat="1" applyFont="1" applyAlignment="1">
      <alignment horizontal="left"/>
    </xf>
    <xf numFmtId="0" fontId="44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left"/>
    </xf>
    <xf numFmtId="0" fontId="5" fillId="0" borderId="0" xfId="44" applyFont="1" applyAlignment="1">
      <alignment horizontal="center" vertical="center"/>
    </xf>
    <xf numFmtId="167" fontId="16" fillId="0" borderId="10" xfId="1" applyNumberFormat="1" applyFont="1" applyBorder="1" applyAlignment="1">
      <alignment horizontal="center" vertic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0" fontId="49" fillId="0" borderId="0" xfId="37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 wrapText="1"/>
    </xf>
  </cellXfs>
  <cellStyles count="45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79" t="s">
        <v>127</v>
      </c>
      <c r="F1" s="579"/>
      <c r="G1" s="579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80" t="s">
        <v>128</v>
      </c>
      <c r="F2" s="580"/>
      <c r="G2" s="580"/>
    </row>
    <row r="3" spans="1:8" s="174" customFormat="1" ht="16.5" customHeight="1">
      <c r="A3" s="176" t="s">
        <v>129</v>
      </c>
      <c r="B3" s="175"/>
      <c r="C3" s="175"/>
      <c r="E3" s="580"/>
      <c r="F3" s="580"/>
      <c r="G3" s="580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81" t="s">
        <v>130</v>
      </c>
      <c r="B5" s="581"/>
      <c r="C5" s="581"/>
      <c r="D5" s="581"/>
      <c r="E5" s="581"/>
      <c r="F5" s="581"/>
      <c r="G5" s="581"/>
    </row>
    <row r="6" spans="1:8">
      <c r="A6" s="582" t="s">
        <v>131</v>
      </c>
      <c r="B6" s="582"/>
      <c r="C6" s="582"/>
      <c r="D6" s="582"/>
      <c r="E6" s="582"/>
      <c r="F6" s="582"/>
      <c r="G6" s="582"/>
    </row>
    <row r="7" spans="1:8">
      <c r="A7" s="582" t="s">
        <v>132</v>
      </c>
      <c r="B7" s="582"/>
      <c r="C7" s="582"/>
      <c r="D7" s="582"/>
      <c r="E7" s="582"/>
      <c r="F7" s="582"/>
      <c r="G7" s="582"/>
    </row>
    <row r="8" spans="1:8">
      <c r="A8" s="180"/>
      <c r="F8" s="180" t="s">
        <v>133</v>
      </c>
    </row>
    <row r="9" spans="1:8" ht="24" customHeight="1">
      <c r="A9" s="583" t="s">
        <v>134</v>
      </c>
      <c r="B9" s="583" t="s">
        <v>135</v>
      </c>
      <c r="C9" s="578" t="s">
        <v>14</v>
      </c>
      <c r="D9" s="578" t="s">
        <v>136</v>
      </c>
      <c r="E9" s="578"/>
      <c r="F9" s="578" t="s">
        <v>137</v>
      </c>
      <c r="G9" s="578" t="s">
        <v>19</v>
      </c>
    </row>
    <row r="10" spans="1:8" ht="20.25" customHeight="1">
      <c r="A10" s="584"/>
      <c r="B10" s="584"/>
      <c r="C10" s="578"/>
      <c r="D10" s="182" t="s">
        <v>138</v>
      </c>
      <c r="E10" s="183" t="s">
        <v>139</v>
      </c>
      <c r="F10" s="578"/>
      <c r="G10" s="578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44" activePane="bottomLeft" state="frozen"/>
      <selection activeCell="A8" sqref="A8"/>
      <selection pane="bottomLeft" activeCell="C866" sqref="C866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79" t="s">
        <v>127</v>
      </c>
      <c r="F1" s="579"/>
      <c r="G1" s="579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580" t="s">
        <v>128</v>
      </c>
      <c r="F2" s="580"/>
      <c r="G2" s="580"/>
    </row>
    <row r="3" spans="1:8" s="174" customFormat="1" ht="16.5" customHeight="1">
      <c r="A3" s="176" t="s">
        <v>129</v>
      </c>
      <c r="B3" s="290"/>
      <c r="C3" s="290"/>
      <c r="E3" s="580"/>
      <c r="F3" s="580"/>
      <c r="G3" s="580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581" t="s">
        <v>130</v>
      </c>
      <c r="B5" s="581"/>
      <c r="C5" s="581"/>
      <c r="D5" s="581"/>
      <c r="E5" s="581"/>
      <c r="F5" s="581"/>
      <c r="G5" s="581"/>
    </row>
    <row r="6" spans="1:8">
      <c r="A6" s="582" t="s">
        <v>131</v>
      </c>
      <c r="B6" s="582"/>
      <c r="C6" s="582"/>
      <c r="D6" s="582"/>
      <c r="E6" s="582"/>
      <c r="F6" s="582"/>
      <c r="G6" s="582"/>
    </row>
    <row r="7" spans="1:8">
      <c r="A7" s="582" t="s">
        <v>132</v>
      </c>
      <c r="B7" s="582"/>
      <c r="C7" s="582"/>
      <c r="D7" s="582"/>
      <c r="E7" s="582"/>
      <c r="F7" s="582"/>
      <c r="G7" s="582"/>
    </row>
    <row r="8" spans="1:8">
      <c r="A8" s="180"/>
      <c r="F8" s="180" t="s">
        <v>133</v>
      </c>
    </row>
    <row r="9" spans="1:8" ht="24" customHeight="1">
      <c r="A9" s="583" t="s">
        <v>134</v>
      </c>
      <c r="B9" s="583" t="s">
        <v>135</v>
      </c>
      <c r="C9" s="578" t="s">
        <v>14</v>
      </c>
      <c r="D9" s="578" t="s">
        <v>136</v>
      </c>
      <c r="E9" s="578"/>
      <c r="F9" s="578" t="s">
        <v>137</v>
      </c>
      <c r="G9" s="578" t="s">
        <v>19</v>
      </c>
    </row>
    <row r="10" spans="1:8" ht="20.25" customHeight="1">
      <c r="A10" s="584"/>
      <c r="B10" s="584"/>
      <c r="C10" s="578"/>
      <c r="D10" s="289" t="s">
        <v>138</v>
      </c>
      <c r="E10" s="183" t="s">
        <v>139</v>
      </c>
      <c r="F10" s="578"/>
      <c r="G10" s="578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2026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2027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2028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2029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2030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2031</v>
      </c>
      <c r="C756" s="188" t="s">
        <v>2032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2031</v>
      </c>
      <c r="C757" s="188" t="s">
        <v>2033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2034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2035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2037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2036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2038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2039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2040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2041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2042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2043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2044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2045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2046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2048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2047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2038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2049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2050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2051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2052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2053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2054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2055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2031</v>
      </c>
      <c r="C782" s="188" t="s">
        <v>2056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2058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2059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2060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2061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2062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2063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2031</v>
      </c>
      <c r="C789" s="188" t="s">
        <v>2064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2065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2066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2067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2068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2069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2070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2071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2072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2073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2074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2075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2076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2077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2078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2079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2080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2081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2082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2083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2031</v>
      </c>
      <c r="C813" s="188" t="s">
        <v>2084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2085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2047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2087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2086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2088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2089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2090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2025</v>
      </c>
      <c r="C823" s="188" t="s">
        <v>2091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2092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2093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2094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2095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2096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2031</v>
      </c>
      <c r="C830" s="188" t="s">
        <v>2097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2098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2031</v>
      </c>
      <c r="C832" s="188" t="s">
        <v>2099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2100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2101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2102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2103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2104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2031</v>
      </c>
      <c r="C839" s="188" t="s">
        <v>2105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2106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2107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2108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2109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2110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2047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2111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2057</v>
      </c>
      <c r="C847" s="188" t="s">
        <v>2112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2113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2114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2115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2116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2117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2090</v>
      </c>
      <c r="C853" s="188" t="s">
        <v>2118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2119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2120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2123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2121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2122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2124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2125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2031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2126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2127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2128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2129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2025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2025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topLeftCell="A4" workbookViewId="0">
      <selection activeCell="C21" sqref="C2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13/12/2016</v>
      </c>
      <c r="E1" s="23" t="str">
        <f ca="1">"CÔNG NỢ KHÁC - LONG AN : " &amp; DAY($I$1)&amp;"/"&amp;MONTH($I$1)&amp;"/"&amp;YEAR($I$1)</f>
        <v>CÔNG NỢ KHÁC - LONG AN : 13/12/2016</v>
      </c>
      <c r="I1" s="28">
        <f ca="1">TODAY()</f>
        <v>42717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PHÚ'!$I$160&lt;0,0,'AN PHÚ'!$I$160)</f>
        <v>50066431</v>
      </c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HÒA'!$K$112</f>
        <v>232707623.5999999</v>
      </c>
      <c r="D4" s="34"/>
      <c r="E4" s="22">
        <f t="shared" ref="E4:E13" si="1">IF(F4&lt;&gt;"",ROW()-2,"")</f>
        <v>2</v>
      </c>
      <c r="F4" s="130" t="s">
        <v>44</v>
      </c>
      <c r="G4" s="112">
        <f>'TTCL-VÙNG 4'!F127</f>
        <v>-810000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2174</v>
      </c>
      <c r="G5" s="112">
        <v>200000000</v>
      </c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PHÁT!$I$337</f>
        <v>359299533</v>
      </c>
      <c r="D6" s="34"/>
      <c r="E6" s="22">
        <f t="shared" si="1"/>
        <v>4</v>
      </c>
      <c r="F6" s="128" t="s">
        <v>2020</v>
      </c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T.M.THƯ!$I$69</f>
        <v>58222000</v>
      </c>
      <c r="D7" s="34"/>
      <c r="E7" s="22">
        <f t="shared" si="1"/>
        <v>5</v>
      </c>
      <c r="F7" s="128" t="s">
        <v>1990</v>
      </c>
      <c r="G7" s="126">
        <f>77480000-40000000</f>
        <v>37480000</v>
      </c>
      <c r="I7" s="119"/>
    </row>
    <row r="8" spans="1:9" s="14" customFormat="1" ht="19.5" customHeight="1">
      <c r="A8" s="22" t="str">
        <f t="shared" si="0"/>
        <v/>
      </c>
      <c r="B8" s="29"/>
      <c r="C8" s="33"/>
      <c r="D8" s="34"/>
      <c r="E8" s="22">
        <f t="shared" si="1"/>
        <v>6</v>
      </c>
      <c r="F8" s="128" t="s">
        <v>2175</v>
      </c>
      <c r="G8" s="126"/>
      <c r="I8" s="119"/>
    </row>
    <row r="9" spans="1:9" s="14" customFormat="1" ht="19.5" customHeight="1">
      <c r="A9" s="22" t="str">
        <f t="shared" si="0"/>
        <v/>
      </c>
      <c r="B9" s="286"/>
      <c r="C9" s="112"/>
      <c r="D9" s="34"/>
      <c r="E9" s="22">
        <f t="shared" si="1"/>
        <v>7</v>
      </c>
      <c r="F9" s="128" t="s">
        <v>1881</v>
      </c>
      <c r="G9" s="112">
        <v>29375000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>
        <f t="shared" si="1"/>
        <v>8</v>
      </c>
      <c r="F10" s="128" t="s">
        <v>2153</v>
      </c>
      <c r="G10" s="126">
        <f>29727500</f>
        <v>29727500</v>
      </c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>
        <f t="shared" si="1"/>
        <v>9</v>
      </c>
      <c r="F11" s="128" t="s">
        <v>2207</v>
      </c>
      <c r="G11" s="126">
        <f>8751706*2</f>
        <v>17503412</v>
      </c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722110256.5999999</v>
      </c>
      <c r="D14" s="76"/>
      <c r="E14" s="586" t="s">
        <v>3</v>
      </c>
      <c r="F14" s="587"/>
      <c r="G14" s="25">
        <f>SUM(G3:G13)</f>
        <v>363342343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13/12/2016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13/12/2016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 t="str">
        <f>IF(F18&lt;&gt;"",ROW()-16,"")</f>
        <v/>
      </c>
      <c r="F18" s="128"/>
      <c r="G18" s="126"/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Asia!$I$50</f>
        <v>406027611.79999995</v>
      </c>
      <c r="D19" s="21"/>
      <c r="E19" s="22">
        <f t="shared" ref="E19:E25" si="3">IF(F19&lt;&gt;"",ROW()-16,"")</f>
        <v>3</v>
      </c>
      <c r="F19" s="29" t="s">
        <v>1130</v>
      </c>
      <c r="G19" s="126">
        <f>109355400</f>
        <v>109355400</v>
      </c>
    </row>
    <row r="20" spans="1:9" s="14" customFormat="1" ht="19.5" customHeight="1">
      <c r="A20" s="22">
        <f t="shared" si="2"/>
        <v>4</v>
      </c>
      <c r="B20" s="157" t="s">
        <v>2024</v>
      </c>
      <c r="C20" s="112">
        <f>AAAS!I27</f>
        <v>50658716</v>
      </c>
      <c r="D20" s="21"/>
      <c r="E20" s="22" t="str">
        <f t="shared" si="3"/>
        <v/>
      </c>
      <c r="F20" s="128"/>
      <c r="G20" s="112"/>
    </row>
    <row r="21" spans="1:9" s="14" customFormat="1" ht="19.5" customHeight="1">
      <c r="A21" s="22"/>
      <c r="B21" s="157" t="s">
        <v>2155</v>
      </c>
      <c r="C21" s="112">
        <f>'HOÀNG ANH'!I33</f>
        <v>27710536</v>
      </c>
      <c r="D21" s="21"/>
      <c r="E21" s="22" t="str">
        <f t="shared" si="3"/>
        <v/>
      </c>
      <c r="F21" s="130"/>
      <c r="G21" s="112"/>
    </row>
    <row r="22" spans="1:9" s="14" customFormat="1" ht="19.5" customHeight="1">
      <c r="A22" s="22"/>
      <c r="B22" s="157" t="s">
        <v>2185</v>
      </c>
      <c r="C22" s="112">
        <f>4400000*2</f>
        <v>8800000</v>
      </c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 t="s">
        <v>2210</v>
      </c>
      <c r="C23" s="112">
        <f>'ÁNH DƯƠNG'!I33</f>
        <v>68287606</v>
      </c>
      <c r="D23" s="21"/>
      <c r="E23" s="22" t="str">
        <f t="shared" si="3"/>
        <v/>
      </c>
      <c r="F23" s="128"/>
      <c r="G23" s="126"/>
    </row>
    <row r="24" spans="1:9" s="14" customFormat="1" ht="19.5" customHeight="1">
      <c r="A24" s="22"/>
      <c r="B24" s="157"/>
      <c r="C24" s="112"/>
      <c r="D24" s="21"/>
      <c r="E24" s="22" t="str">
        <f t="shared" si="3"/>
        <v/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si="3"/>
        <v/>
      </c>
      <c r="F25" s="293"/>
      <c r="G25" s="126"/>
    </row>
    <row r="26" spans="1:9" s="14" customFormat="1" ht="19.5" customHeight="1">
      <c r="A26" s="585" t="s">
        <v>3</v>
      </c>
      <c r="B26" s="585"/>
      <c r="C26" s="25">
        <f>SUM(C18:C25)</f>
        <v>561484469.79999995</v>
      </c>
      <c r="D26" s="21"/>
      <c r="E26" s="585" t="s">
        <v>3</v>
      </c>
      <c r="F26" s="585"/>
      <c r="G26" s="25">
        <f>SUM(G18:G25)</f>
        <v>109355400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13/12/2016</v>
      </c>
      <c r="B28" s="6"/>
      <c r="C28" s="7"/>
      <c r="D28" s="21"/>
      <c r="E28" s="13" t="str">
        <f ca="1">"CÔNG NỢ CÁ - TRÀ VINH: " &amp; DAY(I1)&amp;"/"&amp;MONTH(I1)&amp;"/"&amp;YEAR(I1)</f>
        <v>CÔNG NỢ CÁ - TRÀ VINH: 13/12/2016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585" t="s">
        <v>3</v>
      </c>
      <c r="B49" s="585"/>
      <c r="C49" s="10">
        <f>SUM(C30:C48)</f>
        <v>5397541.5</v>
      </c>
      <c r="E49" s="585" t="s">
        <v>3</v>
      </c>
      <c r="F49" s="585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588" t="s">
        <v>0</v>
      </c>
      <c r="B2" s="588" t="s">
        <v>1</v>
      </c>
      <c r="C2" s="588" t="s">
        <v>1294</v>
      </c>
      <c r="D2" s="590" t="s">
        <v>2</v>
      </c>
      <c r="E2" s="591"/>
      <c r="F2" s="592"/>
    </row>
    <row r="3" spans="1:6" s="301" customFormat="1" ht="37.5" customHeight="1">
      <c r="A3" s="589"/>
      <c r="B3" s="589"/>
      <c r="C3" s="589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593" t="s">
        <v>1316</v>
      </c>
      <c r="B19" s="594"/>
      <c r="C19" s="595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80"/>
  <sheetViews>
    <sheetView topLeftCell="A5" zoomScale="95" workbookViewId="0">
      <pane ySplit="7" topLeftCell="A135" activePane="bottomLeft" state="frozen"/>
      <selection activeCell="A5" sqref="A5"/>
      <selection pane="bottomLeft" activeCell="I139" sqref="I139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601" t="s">
        <v>10</v>
      </c>
      <c r="B2" s="601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603" t="s">
        <v>12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96" t="s">
        <v>41</v>
      </c>
      <c r="B12" s="597"/>
      <c r="C12" s="598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99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600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3"/>
      <c r="C120" s="71" t="s">
        <v>73</v>
      </c>
      <c r="D120" s="124"/>
      <c r="E120" s="125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3"/>
      <c r="C129" s="71" t="s">
        <v>73</v>
      </c>
      <c r="D129" s="124"/>
      <c r="E129" s="125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3"/>
      <c r="C130" s="71" t="s">
        <v>73</v>
      </c>
      <c r="D130" s="124"/>
      <c r="E130" s="125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3"/>
      <c r="C131" s="71" t="s">
        <v>73</v>
      </c>
      <c r="D131" s="124"/>
      <c r="E131" s="125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3"/>
      <c r="C132" s="71" t="s">
        <v>73</v>
      </c>
      <c r="D132" s="124"/>
      <c r="E132" s="125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3"/>
      <c r="C133" s="71" t="s">
        <v>73</v>
      </c>
      <c r="D133" s="124"/>
      <c r="E133" s="125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3"/>
      <c r="C135" s="71" t="s">
        <v>73</v>
      </c>
      <c r="D135" s="124"/>
      <c r="E135" s="125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3"/>
      <c r="C136" s="71" t="s">
        <v>73</v>
      </c>
      <c r="D136" s="124"/>
      <c r="E136" s="125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3"/>
      <c r="C137" s="71" t="s">
        <v>73</v>
      </c>
      <c r="D137" s="124"/>
      <c r="E137" s="125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3"/>
      <c r="C138" s="96" t="s">
        <v>56</v>
      </c>
      <c r="D138" s="124"/>
      <c r="E138" s="125"/>
      <c r="F138" s="66">
        <v>581625</v>
      </c>
      <c r="G138" s="63">
        <f t="shared" ref="G138:G158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3"/>
      <c r="C139" s="96" t="s">
        <v>17</v>
      </c>
      <c r="D139" s="124"/>
      <c r="E139" s="125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3"/>
      <c r="C140" s="96" t="s">
        <v>17</v>
      </c>
      <c r="D140" s="124"/>
      <c r="E140" s="125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3"/>
      <c r="C141" s="71" t="s">
        <v>73</v>
      </c>
      <c r="D141" s="124"/>
      <c r="E141" s="125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3"/>
      <c r="C142" s="71" t="s">
        <v>73</v>
      </c>
      <c r="D142" s="124"/>
      <c r="E142" s="125"/>
      <c r="F142" s="66">
        <v>3333000</v>
      </c>
      <c r="G142" s="63">
        <f t="shared" si="18"/>
        <v>333300</v>
      </c>
      <c r="H142" s="66"/>
      <c r="I142" s="63">
        <f t="shared" ref="I142:I147" si="19">IF(C142&lt;&gt;"",I141+F142+G142-H142,0)</f>
        <v>5877300</v>
      </c>
      <c r="J142" s="82"/>
    </row>
    <row r="143" spans="1:10" ht="18" customHeight="1">
      <c r="A143" s="65">
        <v>42661</v>
      </c>
      <c r="B143" s="123"/>
      <c r="C143" s="71" t="s">
        <v>73</v>
      </c>
      <c r="D143" s="124"/>
      <c r="E143" s="125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3"/>
      <c r="C144" s="96" t="s">
        <v>17</v>
      </c>
      <c r="D144" s="124"/>
      <c r="E144" s="125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3"/>
      <c r="C145" s="71" t="s">
        <v>73</v>
      </c>
      <c r="D145" s="124"/>
      <c r="E145" s="125"/>
      <c r="F145" s="66">
        <v>2000000</v>
      </c>
      <c r="G145" s="63">
        <f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3"/>
      <c r="C146" s="71" t="s">
        <v>73</v>
      </c>
      <c r="D146" s="124"/>
      <c r="E146" s="125"/>
      <c r="F146" s="66">
        <v>2000000</v>
      </c>
      <c r="G146" s="63">
        <f>ROUND(F146*10%,0)</f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3"/>
      <c r="C147" s="71" t="s">
        <v>73</v>
      </c>
      <c r="D147" s="124"/>
      <c r="E147" s="125"/>
      <c r="F147" s="66">
        <v>2000000</v>
      </c>
      <c r="G147" s="63">
        <f>ROUND(F147*10%,0)</f>
        <v>200000</v>
      </c>
      <c r="H147" s="66"/>
      <c r="I147" s="63">
        <f t="shared" si="19"/>
        <v>50066431</v>
      </c>
      <c r="J147" s="82"/>
    </row>
    <row r="148" spans="1:10" ht="18" customHeight="1">
      <c r="A148" s="65"/>
      <c r="B148" s="123"/>
      <c r="C148" s="96"/>
      <c r="D148" s="124"/>
      <c r="E148" s="125"/>
      <c r="F148" s="66"/>
      <c r="G148" s="63">
        <f t="shared" si="17"/>
        <v>0</v>
      </c>
      <c r="H148" s="66"/>
      <c r="I148" s="63">
        <f t="shared" ref="I148:I159" si="20">IF(C148&lt;&gt;"",I147+F148+G148-H148,0)</f>
        <v>0</v>
      </c>
      <c r="J148" s="82"/>
    </row>
    <row r="149" spans="1:10" ht="18" customHeight="1">
      <c r="A149" s="65"/>
      <c r="B149" s="123"/>
      <c r="C149" s="96"/>
      <c r="D149" s="124"/>
      <c r="E149" s="125"/>
      <c r="F149" s="66"/>
      <c r="G149" s="63">
        <f t="shared" si="17"/>
        <v>0</v>
      </c>
      <c r="H149" s="66"/>
      <c r="I149" s="63">
        <f t="shared" si="20"/>
        <v>0</v>
      </c>
      <c r="J149" s="82"/>
    </row>
    <row r="150" spans="1:10" ht="18" customHeight="1">
      <c r="A150" s="65"/>
      <c r="B150" s="123"/>
      <c r="C150" s="96"/>
      <c r="D150" s="124"/>
      <c r="E150" s="125"/>
      <c r="F150" s="66"/>
      <c r="G150" s="63">
        <f t="shared" si="17"/>
        <v>0</v>
      </c>
      <c r="H150" s="66"/>
      <c r="I150" s="63">
        <f t="shared" si="20"/>
        <v>0</v>
      </c>
      <c r="J150" s="82"/>
    </row>
    <row r="151" spans="1:10" ht="18" customHeight="1">
      <c r="A151" s="65"/>
      <c r="B151" s="123"/>
      <c r="C151" s="96"/>
      <c r="D151" s="124"/>
      <c r="E151" s="125"/>
      <c r="F151" s="66"/>
      <c r="G151" s="63">
        <f t="shared" si="17"/>
        <v>0</v>
      </c>
      <c r="H151" s="66"/>
      <c r="I151" s="63">
        <f t="shared" si="20"/>
        <v>0</v>
      </c>
      <c r="J151" s="82"/>
    </row>
    <row r="152" spans="1:10" ht="18" customHeight="1">
      <c r="A152" s="65"/>
      <c r="B152" s="123"/>
      <c r="C152" s="96"/>
      <c r="D152" s="124"/>
      <c r="E152" s="125"/>
      <c r="F152" s="66"/>
      <c r="G152" s="63">
        <f t="shared" si="17"/>
        <v>0</v>
      </c>
      <c r="H152" s="66"/>
      <c r="I152" s="63">
        <f t="shared" si="20"/>
        <v>0</v>
      </c>
      <c r="J152" s="82"/>
    </row>
    <row r="153" spans="1:10" ht="18" customHeight="1">
      <c r="A153" s="65"/>
      <c r="B153" s="123"/>
      <c r="C153" s="96"/>
      <c r="D153" s="124"/>
      <c r="E153" s="125"/>
      <c r="F153" s="66"/>
      <c r="G153" s="63">
        <f t="shared" si="17"/>
        <v>0</v>
      </c>
      <c r="H153" s="66"/>
      <c r="I153" s="63">
        <f t="shared" si="20"/>
        <v>0</v>
      </c>
      <c r="J153" s="82"/>
    </row>
    <row r="154" spans="1:10" ht="18" customHeight="1">
      <c r="A154" s="65"/>
      <c r="B154" s="123"/>
      <c r="C154" s="96"/>
      <c r="D154" s="124"/>
      <c r="E154" s="125"/>
      <c r="F154" s="66"/>
      <c r="G154" s="63">
        <f t="shared" si="17"/>
        <v>0</v>
      </c>
      <c r="H154" s="66"/>
      <c r="I154" s="63">
        <f t="shared" si="20"/>
        <v>0</v>
      </c>
      <c r="J154" s="82"/>
    </row>
    <row r="155" spans="1:10" ht="18" customHeight="1">
      <c r="A155" s="65"/>
      <c r="B155" s="123"/>
      <c r="C155" s="96"/>
      <c r="D155" s="124"/>
      <c r="E155" s="125"/>
      <c r="F155" s="66"/>
      <c r="G155" s="63">
        <f t="shared" si="17"/>
        <v>0</v>
      </c>
      <c r="H155" s="66"/>
      <c r="I155" s="63">
        <f t="shared" si="20"/>
        <v>0</v>
      </c>
      <c r="J155" s="82"/>
    </row>
    <row r="156" spans="1:10" ht="18" customHeight="1">
      <c r="A156" s="65"/>
      <c r="B156" s="123"/>
      <c r="C156" s="96"/>
      <c r="D156" s="124"/>
      <c r="E156" s="125"/>
      <c r="F156" s="66"/>
      <c r="G156" s="63">
        <f t="shared" si="17"/>
        <v>0</v>
      </c>
      <c r="H156" s="66"/>
      <c r="I156" s="63">
        <f t="shared" si="20"/>
        <v>0</v>
      </c>
      <c r="J156" s="82"/>
    </row>
    <row r="157" spans="1:10" ht="18" customHeight="1">
      <c r="A157" s="65"/>
      <c r="B157" s="123"/>
      <c r="C157" s="96"/>
      <c r="D157" s="124"/>
      <c r="E157" s="125"/>
      <c r="F157" s="66"/>
      <c r="G157" s="63">
        <f t="shared" si="17"/>
        <v>0</v>
      </c>
      <c r="H157" s="66"/>
      <c r="I157" s="63">
        <f t="shared" si="20"/>
        <v>0</v>
      </c>
      <c r="J157" s="82"/>
    </row>
    <row r="158" spans="1:10" ht="18" customHeight="1">
      <c r="A158" s="65"/>
      <c r="B158" s="123"/>
      <c r="C158" s="96"/>
      <c r="D158" s="124"/>
      <c r="E158" s="125"/>
      <c r="F158" s="66"/>
      <c r="G158" s="63">
        <f t="shared" si="17"/>
        <v>0</v>
      </c>
      <c r="H158" s="66"/>
      <c r="I158" s="63">
        <f t="shared" si="20"/>
        <v>0</v>
      </c>
      <c r="J158" s="82"/>
    </row>
    <row r="159" spans="1:10" ht="18" customHeight="1">
      <c r="A159" s="65"/>
      <c r="B159" s="74"/>
      <c r="C159" s="71"/>
      <c r="D159" s="72"/>
      <c r="E159" s="66"/>
      <c r="F159" s="66"/>
      <c r="G159" s="66"/>
      <c r="H159" s="66"/>
      <c r="I159" s="63">
        <f t="shared" si="20"/>
        <v>0</v>
      </c>
      <c r="J159" s="82"/>
    </row>
    <row r="160" spans="1:10" s="68" customFormat="1" ht="18" customHeight="1">
      <c r="A160" s="602" t="s">
        <v>3</v>
      </c>
      <c r="B160" s="602"/>
      <c r="C160" s="602"/>
      <c r="D160" s="45"/>
      <c r="E160" s="45"/>
      <c r="F160" s="67">
        <f>I12+SUM(F13:F159)</f>
        <v>2921067290.5799999</v>
      </c>
      <c r="G160" s="67">
        <f>SUM(G13:G159)</f>
        <v>137929546</v>
      </c>
      <c r="H160" s="67">
        <f>SUM(H13:H159)</f>
        <v>3008930405.5799999</v>
      </c>
      <c r="I160" s="45">
        <f>F160+G160-H160</f>
        <v>50066431</v>
      </c>
      <c r="J160" s="62"/>
    </row>
    <row r="161" spans="1:8" ht="18" customHeight="1"/>
    <row r="162" spans="1:8" ht="21" hidden="1" customHeight="1">
      <c r="C162" s="46"/>
      <c r="D162" s="46"/>
      <c r="E162" s="46"/>
      <c r="F162" s="69" t="s">
        <v>20</v>
      </c>
      <c r="G162" s="69"/>
    </row>
    <row r="163" spans="1:8" ht="21" hidden="1" customHeight="1"/>
    <row r="164" spans="1:8" ht="21" hidden="1" customHeight="1"/>
    <row r="165" spans="1:8" ht="14.25" hidden="1" customHeight="1">
      <c r="H165" s="70" t="s">
        <v>21</v>
      </c>
    </row>
    <row r="166" spans="1:8" ht="21" hidden="1" customHeight="1">
      <c r="A166" s="55" t="s">
        <v>22</v>
      </c>
      <c r="F166" s="55" t="s">
        <v>23</v>
      </c>
    </row>
    <row r="167" spans="1:8" ht="21" hidden="1" customHeight="1"/>
    <row r="168" spans="1:8" ht="21" hidden="1" customHeight="1"/>
    <row r="169" spans="1:8" ht="21" hidden="1" customHeight="1"/>
    <row r="170" spans="1:8" ht="21" hidden="1" customHeight="1"/>
    <row r="171" spans="1:8" ht="21" hidden="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  <row r="178" ht="21" customHeight="1"/>
    <row r="179" ht="21" customHeight="1"/>
    <row r="180" ht="21" customHeight="1"/>
  </sheetData>
  <mergeCells count="6">
    <mergeCell ref="A12:C12"/>
    <mergeCell ref="J17:J18"/>
    <mergeCell ref="A2:B2"/>
    <mergeCell ref="A160:C160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47"/>
  <sheetViews>
    <sheetView topLeftCell="A5" zoomScale="95" workbookViewId="0">
      <pane ySplit="7" topLeftCell="A12" activePane="bottomLeft" state="frozen"/>
      <selection activeCell="A5" sqref="A5"/>
      <selection pane="bottomLeft" activeCell="F93" sqref="F9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601" t="s">
        <v>10</v>
      </c>
      <c r="B2" s="601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603" t="s">
        <v>12</v>
      </c>
      <c r="B5" s="603"/>
      <c r="C5" s="603"/>
      <c r="D5" s="603"/>
      <c r="E5" s="603"/>
      <c r="F5" s="603"/>
      <c r="G5" s="81"/>
    </row>
    <row r="6" spans="1:7" ht="9" hidden="1" customHeight="1">
      <c r="A6" s="604"/>
      <c r="B6" s="604"/>
      <c r="C6" s="604"/>
      <c r="D6" s="604"/>
      <c r="E6" s="604"/>
      <c r="F6" s="604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>IF(C92&lt;&gt;"",F91+D92-E92,0)</f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126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si="5"/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5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5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5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5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5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5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5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5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si="5"/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5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5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5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5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3"/>
      <c r="C121" s="103" t="s">
        <v>53</v>
      </c>
      <c r="D121" s="268">
        <v>810000</v>
      </c>
      <c r="E121" s="268"/>
      <c r="F121" s="63">
        <f t="shared" si="5"/>
        <v>810000</v>
      </c>
      <c r="G121" s="82"/>
    </row>
    <row r="122" spans="1:7" ht="18" customHeight="1">
      <c r="A122" s="65">
        <v>42703</v>
      </c>
      <c r="B122" s="123"/>
      <c r="C122" s="103" t="s">
        <v>2211</v>
      </c>
      <c r="D122" s="268">
        <v>1420000</v>
      </c>
      <c r="E122" s="268"/>
      <c r="F122" s="63">
        <f t="shared" si="5"/>
        <v>2230000</v>
      </c>
      <c r="G122" s="82"/>
    </row>
    <row r="123" spans="1:7" ht="18" customHeight="1">
      <c r="A123" s="65">
        <v>42698</v>
      </c>
      <c r="B123" s="123"/>
      <c r="C123" s="103"/>
      <c r="D123" s="268"/>
      <c r="E123" s="268">
        <v>3040000</v>
      </c>
      <c r="F123" s="63">
        <f t="shared" si="5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5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5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5"/>
        <v>0</v>
      </c>
      <c r="G126" s="82"/>
    </row>
    <row r="127" spans="1:7" s="68" customFormat="1" ht="18" customHeight="1">
      <c r="A127" s="602" t="s">
        <v>3</v>
      </c>
      <c r="B127" s="602"/>
      <c r="C127" s="602"/>
      <c r="D127" s="67">
        <f>SUM(D12:D126)</f>
        <v>184310000</v>
      </c>
      <c r="E127" s="67">
        <f>SUM(E12:E126)</f>
        <v>185120000</v>
      </c>
      <c r="F127" s="45">
        <f>D127-E127</f>
        <v>-810000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9" activePane="bottomLeft" state="frozen"/>
      <selection activeCell="B61" sqref="B61"/>
      <selection pane="bottomLeft" activeCell="L106" sqref="L10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117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42537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>
        <v>42556</v>
      </c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602" t="s">
        <v>3</v>
      </c>
      <c r="B116" s="602"/>
      <c r="C116" s="602"/>
      <c r="D116" s="602"/>
      <c r="E116" s="602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606">
        <f>I116</f>
        <v>0</v>
      </c>
      <c r="E118" s="606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0"/>
  <sheetViews>
    <sheetView topLeftCell="A5" zoomScale="90" workbookViewId="0">
      <pane ySplit="7" topLeftCell="A30" activePane="bottomLeft" state="frozen"/>
      <selection activeCell="B61" sqref="B61"/>
      <selection pane="bottomLeft" activeCell="A33" sqref="A33:XFD33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117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23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f>I17</f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2018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2018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2019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2019</v>
      </c>
      <c r="C24" s="140"/>
      <c r="D24" s="141"/>
      <c r="E24" s="73" t="s">
        <v>105</v>
      </c>
      <c r="F24" s="66">
        <v>7839585</v>
      </c>
      <c r="G24" s="142">
        <f>F24*10%</f>
        <v>783958.5</v>
      </c>
      <c r="H24" s="142"/>
      <c r="I24" s="264">
        <f t="shared" ref="I24:I49" si="1">ROUND(IF(E24&lt;&gt;"",I23+F24+G24-H24,0),0)</f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1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1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1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f>F28*10%</f>
        <v>1935564.4000000001</v>
      </c>
      <c r="H28" s="142"/>
      <c r="I28" s="264">
        <f t="shared" si="1"/>
        <v>143504966</v>
      </c>
      <c r="J28" s="143"/>
    </row>
    <row r="29" spans="1:10" s="108" customFormat="1" ht="18" customHeight="1">
      <c r="A29" s="65">
        <v>42602</v>
      </c>
      <c r="B29" s="65" t="s">
        <v>2170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1"/>
        <v>169631066</v>
      </c>
      <c r="J29" s="143"/>
    </row>
    <row r="30" spans="1:10" s="108" customFormat="1" ht="18" customHeight="1">
      <c r="A30" s="65">
        <v>42602</v>
      </c>
      <c r="B30" s="65" t="s">
        <v>2170</v>
      </c>
      <c r="C30" s="140"/>
      <c r="D30" s="141"/>
      <c r="E30" s="73" t="s">
        <v>105</v>
      </c>
      <c r="F30" s="66">
        <v>19735254</v>
      </c>
      <c r="G30" s="142">
        <f>F30*10%</f>
        <v>1973525.4000000001</v>
      </c>
      <c r="H30" s="142"/>
      <c r="I30" s="264">
        <f t="shared" si="1"/>
        <v>191339845</v>
      </c>
      <c r="J30" s="143"/>
    </row>
    <row r="31" spans="1:10" s="108" customFormat="1" ht="18" customHeight="1">
      <c r="A31" s="65">
        <v>42643</v>
      </c>
      <c r="B31" s="65"/>
      <c r="C31" s="140"/>
      <c r="D31" s="141"/>
      <c r="E31" s="73" t="s">
        <v>28</v>
      </c>
      <c r="F31" s="66">
        <v>21218250</v>
      </c>
      <c r="G31" s="142"/>
      <c r="H31" s="142"/>
      <c r="I31" s="264">
        <f t="shared" si="1"/>
        <v>212558095</v>
      </c>
      <c r="J31" s="143"/>
    </row>
    <row r="32" spans="1:10" s="108" customFormat="1" ht="18" customHeight="1">
      <c r="A32" s="65">
        <v>42643</v>
      </c>
      <c r="B32" s="65"/>
      <c r="C32" s="140"/>
      <c r="D32" s="141"/>
      <c r="E32" s="73" t="s">
        <v>105</v>
      </c>
      <c r="F32" s="66">
        <v>8509635</v>
      </c>
      <c r="G32" s="142">
        <f>F32*10%</f>
        <v>850963.5</v>
      </c>
      <c r="H32" s="142"/>
      <c r="I32" s="264">
        <f t="shared" si="1"/>
        <v>221918694</v>
      </c>
      <c r="J32" s="143"/>
    </row>
    <row r="33" spans="1:10" s="266" customFormat="1" ht="18" customHeight="1">
      <c r="A33" s="280">
        <v>42662</v>
      </c>
      <c r="B33" s="280"/>
      <c r="C33" s="281"/>
      <c r="D33" s="282"/>
      <c r="E33" s="467" t="s">
        <v>17</v>
      </c>
      <c r="F33" s="283"/>
      <c r="G33" s="283"/>
      <c r="H33" s="283">
        <v>100000000</v>
      </c>
      <c r="I33" s="264">
        <f t="shared" si="1"/>
        <v>121918694</v>
      </c>
      <c r="J33" s="284"/>
    </row>
    <row r="34" spans="1:10" s="108" customFormat="1" ht="18" customHeight="1">
      <c r="A34" s="65">
        <v>42669</v>
      </c>
      <c r="B34" s="65" t="s">
        <v>2206</v>
      </c>
      <c r="C34" s="140"/>
      <c r="D34" s="141"/>
      <c r="E34" s="73" t="s">
        <v>28</v>
      </c>
      <c r="F34" s="66">
        <v>26172900</v>
      </c>
      <c r="G34" s="142"/>
      <c r="H34" s="142"/>
      <c r="I34" s="264">
        <f t="shared" si="1"/>
        <v>148091594</v>
      </c>
      <c r="J34" s="143"/>
    </row>
    <row r="35" spans="1:10" s="108" customFormat="1" ht="18" customHeight="1">
      <c r="A35" s="65">
        <v>42669</v>
      </c>
      <c r="B35" s="65" t="s">
        <v>2206</v>
      </c>
      <c r="C35" s="140"/>
      <c r="D35" s="141"/>
      <c r="E35" s="73" t="s">
        <v>105</v>
      </c>
      <c r="F35" s="66">
        <v>23421390</v>
      </c>
      <c r="G35" s="142">
        <f>F35*10%</f>
        <v>2342139</v>
      </c>
      <c r="H35" s="142"/>
      <c r="I35" s="264">
        <f t="shared" si="1"/>
        <v>173855123</v>
      </c>
      <c r="J35" s="143"/>
    </row>
    <row r="36" spans="1:10" s="108" customFormat="1" ht="18" customHeight="1">
      <c r="A36" s="65">
        <v>42682</v>
      </c>
      <c r="B36" s="65"/>
      <c r="C36" s="140"/>
      <c r="D36" s="141"/>
      <c r="E36" s="73" t="s">
        <v>28</v>
      </c>
      <c r="F36" s="66">
        <v>26167050</v>
      </c>
      <c r="G36" s="142"/>
      <c r="H36" s="142"/>
      <c r="I36" s="264">
        <f t="shared" si="1"/>
        <v>200022173</v>
      </c>
      <c r="J36" s="143"/>
    </row>
    <row r="37" spans="1:10" s="108" customFormat="1" ht="18" customHeight="1">
      <c r="A37" s="65">
        <v>42682</v>
      </c>
      <c r="B37" s="65"/>
      <c r="C37" s="140"/>
      <c r="D37" s="141"/>
      <c r="E37" s="73" t="s">
        <v>105</v>
      </c>
      <c r="F37" s="66">
        <v>19882485</v>
      </c>
      <c r="G37" s="142">
        <f>F37*10%</f>
        <v>1988248.5</v>
      </c>
      <c r="H37" s="142"/>
      <c r="I37" s="264">
        <f t="shared" si="1"/>
        <v>221892907</v>
      </c>
      <c r="J37" s="143"/>
    </row>
    <row r="38" spans="1:10" s="108" customFormat="1" ht="18" customHeight="1">
      <c r="A38" s="65">
        <v>42682</v>
      </c>
      <c r="B38" s="65"/>
      <c r="C38" s="140"/>
      <c r="D38" s="141"/>
      <c r="E38" s="73" t="s">
        <v>28</v>
      </c>
      <c r="F38" s="66">
        <v>52334100</v>
      </c>
      <c r="G38" s="142"/>
      <c r="H38" s="142"/>
      <c r="I38" s="264">
        <f t="shared" si="1"/>
        <v>274227007</v>
      </c>
      <c r="J38" s="143"/>
    </row>
    <row r="39" spans="1:10" s="108" customFormat="1" ht="18" customHeight="1">
      <c r="A39" s="65">
        <v>42682</v>
      </c>
      <c r="B39" s="65"/>
      <c r="C39" s="140"/>
      <c r="D39" s="141"/>
      <c r="E39" s="73" t="s">
        <v>105</v>
      </c>
      <c r="F39" s="66">
        <v>38915100</v>
      </c>
      <c r="G39" s="142">
        <f>F39*10%</f>
        <v>3891510</v>
      </c>
      <c r="H39" s="142"/>
      <c r="I39" s="264">
        <f t="shared" si="1"/>
        <v>317033617</v>
      </c>
      <c r="J39" s="143"/>
    </row>
    <row r="40" spans="1:10" s="108" customFormat="1" ht="18" customHeight="1">
      <c r="A40" s="65">
        <v>42682</v>
      </c>
      <c r="B40" s="65"/>
      <c r="C40" s="140"/>
      <c r="D40" s="141"/>
      <c r="E40" s="73" t="s">
        <v>28</v>
      </c>
      <c r="F40" s="66">
        <v>22445000</v>
      </c>
      <c r="G40" s="142"/>
      <c r="H40" s="142"/>
      <c r="I40" s="264">
        <f t="shared" si="1"/>
        <v>339478617</v>
      </c>
      <c r="J40" s="143"/>
    </row>
    <row r="41" spans="1:10" s="108" customFormat="1" ht="18" customHeight="1">
      <c r="A41" s="65">
        <v>42682</v>
      </c>
      <c r="B41" s="65"/>
      <c r="C41" s="140"/>
      <c r="D41" s="141"/>
      <c r="E41" s="73" t="s">
        <v>105</v>
      </c>
      <c r="F41" s="66">
        <v>19953605</v>
      </c>
      <c r="G41" s="142">
        <f>F41*10%</f>
        <v>1995360.5</v>
      </c>
      <c r="H41" s="142"/>
      <c r="I41" s="264">
        <f t="shared" si="1"/>
        <v>361427583</v>
      </c>
      <c r="J41" s="143"/>
    </row>
    <row r="42" spans="1:10" s="108" customFormat="1" ht="18" customHeight="1">
      <c r="A42" s="65">
        <v>42698</v>
      </c>
      <c r="B42" s="65"/>
      <c r="C42" s="140"/>
      <c r="D42" s="141"/>
      <c r="E42" s="73" t="s">
        <v>28</v>
      </c>
      <c r="F42" s="66">
        <v>22790000</v>
      </c>
      <c r="G42" s="142"/>
      <c r="H42" s="142"/>
      <c r="I42" s="264">
        <f t="shared" si="1"/>
        <v>384217583</v>
      </c>
      <c r="J42" s="143"/>
    </row>
    <row r="43" spans="1:10" s="108" customFormat="1" ht="18" customHeight="1">
      <c r="A43" s="65">
        <v>42698</v>
      </c>
      <c r="B43" s="65"/>
      <c r="C43" s="140"/>
      <c r="D43" s="141"/>
      <c r="E43" s="73" t="s">
        <v>105</v>
      </c>
      <c r="F43" s="66">
        <v>19827300</v>
      </c>
      <c r="G43" s="142">
        <f>F43*10%</f>
        <v>1982730</v>
      </c>
      <c r="H43" s="142"/>
      <c r="I43" s="264">
        <f t="shared" si="1"/>
        <v>406027613</v>
      </c>
      <c r="J43" s="143"/>
    </row>
    <row r="44" spans="1:10" s="108" customFormat="1" ht="18" customHeight="1">
      <c r="A44" s="65"/>
      <c r="B44" s="65"/>
      <c r="C44" s="140"/>
      <c r="D44" s="141"/>
      <c r="E44" s="64"/>
      <c r="F44" s="66"/>
      <c r="G44" s="142"/>
      <c r="H44" s="142"/>
      <c r="I44" s="264">
        <f t="shared" si="1"/>
        <v>0</v>
      </c>
      <c r="J44" s="143"/>
    </row>
    <row r="45" spans="1:10" s="108" customFormat="1" ht="18" customHeight="1">
      <c r="A45" s="65"/>
      <c r="B45" s="65"/>
      <c r="C45" s="140"/>
      <c r="D45" s="141"/>
      <c r="E45" s="64"/>
      <c r="F45" s="66"/>
      <c r="G45" s="142"/>
      <c r="H45" s="142"/>
      <c r="I45" s="264">
        <f t="shared" si="1"/>
        <v>0</v>
      </c>
      <c r="J45" s="143"/>
    </row>
    <row r="46" spans="1:10" s="108" customFormat="1" ht="18" customHeight="1">
      <c r="A46" s="65"/>
      <c r="B46" s="65"/>
      <c r="C46" s="140"/>
      <c r="D46" s="141"/>
      <c r="E46" s="64"/>
      <c r="F46" s="66"/>
      <c r="G46" s="142"/>
      <c r="H46" s="142"/>
      <c r="I46" s="264">
        <f t="shared" si="1"/>
        <v>0</v>
      </c>
      <c r="J46" s="143"/>
    </row>
    <row r="47" spans="1:10" s="108" customFormat="1" ht="18" customHeight="1">
      <c r="A47" s="65"/>
      <c r="B47" s="65"/>
      <c r="C47" s="140"/>
      <c r="D47" s="141"/>
      <c r="E47" s="64"/>
      <c r="F47" s="66"/>
      <c r="G47" s="142"/>
      <c r="H47" s="142"/>
      <c r="I47" s="264">
        <f t="shared" si="1"/>
        <v>0</v>
      </c>
      <c r="J47" s="143"/>
    </row>
    <row r="48" spans="1:10" s="108" customFormat="1" ht="18" customHeight="1">
      <c r="A48" s="65"/>
      <c r="B48" s="65"/>
      <c r="C48" s="140"/>
      <c r="D48" s="141"/>
      <c r="E48" s="64"/>
      <c r="F48" s="66"/>
      <c r="G48" s="142"/>
      <c r="H48" s="142"/>
      <c r="I48" s="264">
        <f t="shared" si="1"/>
        <v>0</v>
      </c>
      <c r="J48" s="143"/>
    </row>
    <row r="49" spans="1:10" ht="18" customHeight="1">
      <c r="A49" s="65"/>
      <c r="B49" s="65"/>
      <c r="C49" s="74"/>
      <c r="D49" s="72"/>
      <c r="E49" s="71"/>
      <c r="F49" s="66"/>
      <c r="G49" s="66"/>
      <c r="H49" s="66"/>
      <c r="I49" s="264">
        <f t="shared" si="1"/>
        <v>0</v>
      </c>
      <c r="J49" s="82"/>
    </row>
    <row r="50" spans="1:10" s="68" customFormat="1" ht="18" customHeight="1">
      <c r="A50" s="602" t="s">
        <v>3</v>
      </c>
      <c r="B50" s="602"/>
      <c r="C50" s="602"/>
      <c r="D50" s="602"/>
      <c r="E50" s="602"/>
      <c r="F50" s="67">
        <f>SUM(F12:F49)</f>
        <v>547751478</v>
      </c>
      <c r="G50" s="67">
        <f>SUM(G12:G49)</f>
        <v>22651237.800000001</v>
      </c>
      <c r="H50" s="67">
        <f>SUM(H12:H49)</f>
        <v>164375104</v>
      </c>
      <c r="I50" s="418">
        <f>F50+G50-H50</f>
        <v>406027611.79999995</v>
      </c>
      <c r="J50" s="62"/>
    </row>
    <row r="51" spans="1:10" ht="18" customHeight="1"/>
    <row r="52" spans="1:10" ht="21" customHeight="1">
      <c r="D52" s="606">
        <f>I50</f>
        <v>406027611.79999995</v>
      </c>
      <c r="E52" s="606"/>
      <c r="F52" s="69" t="s">
        <v>20</v>
      </c>
      <c r="G52" s="69"/>
    </row>
    <row r="53" spans="1:10" ht="21" customHeight="1"/>
    <row r="54" spans="1:10" ht="21" customHeight="1"/>
    <row r="55" spans="1:10" ht="14.25" customHeight="1">
      <c r="H55" s="70" t="s">
        <v>21</v>
      </c>
    </row>
    <row r="56" spans="1:10" ht="21" customHeight="1">
      <c r="A56" s="55" t="s">
        <v>22</v>
      </c>
      <c r="B56" s="70"/>
      <c r="F56" s="55" t="s">
        <v>23</v>
      </c>
    </row>
    <row r="57" spans="1:10" ht="21" customHeight="1"/>
    <row r="58" spans="1:10" ht="21" customHeight="1"/>
    <row r="59" spans="1:10" ht="21" customHeight="1"/>
    <row r="60" spans="1:10" ht="21" customHeight="1"/>
    <row r="61" spans="1:10" ht="21" customHeight="1"/>
    <row r="62" spans="1:10" ht="21" customHeight="1"/>
    <row r="63" spans="1:10" s="54" customFormat="1" ht="21" customHeight="1">
      <c r="B63" s="129"/>
      <c r="C63" s="55"/>
      <c r="D63" s="56"/>
      <c r="E63" s="57"/>
      <c r="F63" s="55"/>
      <c r="G63" s="55"/>
      <c r="H63" s="55"/>
      <c r="I63" s="55"/>
      <c r="J63" s="50"/>
    </row>
    <row r="64" spans="1:10" s="54" customFormat="1" ht="21" customHeight="1">
      <c r="B64" s="129"/>
      <c r="C64" s="55"/>
      <c r="D64" s="56"/>
      <c r="E64" s="57"/>
      <c r="F64" s="55"/>
      <c r="G64" s="55"/>
      <c r="H64" s="55"/>
      <c r="I64" s="55"/>
      <c r="J64" s="50"/>
    </row>
    <row r="65" spans="2:10" s="54" customFormat="1" ht="21" customHeight="1">
      <c r="B65" s="129"/>
      <c r="C65" s="55"/>
      <c r="D65" s="56"/>
      <c r="E65" s="57"/>
      <c r="F65" s="55"/>
      <c r="G65" s="55"/>
      <c r="H65" s="55"/>
      <c r="I65" s="55"/>
      <c r="J65" s="50"/>
    </row>
    <row r="66" spans="2:10" s="54" customFormat="1" ht="21" customHeight="1">
      <c r="B66" s="129"/>
      <c r="C66" s="55"/>
      <c r="D66" s="56"/>
      <c r="E66" s="57"/>
      <c r="F66" s="55"/>
      <c r="G66" s="55"/>
      <c r="H66" s="55"/>
      <c r="I66" s="55"/>
      <c r="J66" s="50"/>
    </row>
    <row r="67" spans="2:10" s="54" customFormat="1" ht="21" customHeight="1">
      <c r="B67" s="129"/>
      <c r="C67" s="55"/>
      <c r="D67" s="56"/>
      <c r="E67" s="57"/>
      <c r="F67" s="55"/>
      <c r="G67" s="55"/>
      <c r="H67" s="55"/>
      <c r="I67" s="55"/>
      <c r="J67" s="50"/>
    </row>
    <row r="68" spans="2:10" s="54" customFormat="1" ht="21" customHeight="1">
      <c r="B68" s="129"/>
      <c r="C68" s="55"/>
      <c r="D68" s="56"/>
      <c r="E68" s="57"/>
      <c r="F68" s="55"/>
      <c r="G68" s="55"/>
      <c r="H68" s="55"/>
      <c r="I68" s="55"/>
      <c r="J68" s="50"/>
    </row>
    <row r="69" spans="2:10" s="54" customFormat="1" ht="21" customHeight="1">
      <c r="B69" s="129"/>
      <c r="C69" s="55"/>
      <c r="D69" s="56"/>
      <c r="E69" s="57"/>
      <c r="F69" s="55"/>
      <c r="G69" s="55"/>
      <c r="H69" s="55"/>
      <c r="I69" s="55"/>
      <c r="J69" s="50"/>
    </row>
    <row r="70" spans="2:10" s="54" customFormat="1" ht="21" customHeight="1">
      <c r="B70" s="129"/>
      <c r="C70" s="55"/>
      <c r="D70" s="56"/>
      <c r="E70" s="57"/>
      <c r="F70" s="55"/>
      <c r="G70" s="55"/>
      <c r="H70" s="55"/>
      <c r="I70" s="55"/>
      <c r="J70" s="50"/>
    </row>
  </sheetData>
  <autoFilter ref="A11:J50"/>
  <mergeCells count="5">
    <mergeCell ref="A2:D2"/>
    <mergeCell ref="A5:I5"/>
    <mergeCell ref="A6:I6"/>
    <mergeCell ref="A50:E50"/>
    <mergeCell ref="D52:E52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7"/>
  <sheetViews>
    <sheetView tabSelected="1" topLeftCell="A5" zoomScale="90" workbookViewId="0">
      <pane ySplit="7" topLeftCell="A12" activePane="bottomLeft" state="frozen"/>
      <selection activeCell="B61" sqref="B61"/>
      <selection pane="bottomLeft" activeCell="I19" sqref="I1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117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ROUND(F13*10%,0)</f>
        <v>373154</v>
      </c>
      <c r="H13" s="142"/>
      <c r="I13" s="264">
        <f>ROUND(IF(E13&lt;&gt;"",I12+F13+G13-H13,0),0)</f>
        <v>10803694</v>
      </c>
      <c r="J13" s="143"/>
    </row>
    <row r="14" spans="1:10" s="108" customFormat="1" ht="18" customHeight="1">
      <c r="A14" s="65">
        <v>42613</v>
      </c>
      <c r="B14" s="65"/>
      <c r="C14" s="140"/>
      <c r="D14" s="141"/>
      <c r="E14" s="73" t="s">
        <v>105</v>
      </c>
      <c r="F14" s="66">
        <v>4382920</v>
      </c>
      <c r="G14" s="142">
        <f>ROUND(F14*10%,0)</f>
        <v>438292</v>
      </c>
      <c r="H14" s="142"/>
      <c r="I14" s="264">
        <f>ROUND(IF(E14&lt;&gt;"",I13+F14+G14-H14,0),0)</f>
        <v>15624906</v>
      </c>
      <c r="J14" s="143"/>
    </row>
    <row r="15" spans="1:10" s="108" customFormat="1" ht="18" customHeight="1">
      <c r="A15" s="65">
        <v>42663</v>
      </c>
      <c r="B15" s="65"/>
      <c r="C15" s="140"/>
      <c r="D15" s="141"/>
      <c r="E15" s="73" t="s">
        <v>28</v>
      </c>
      <c r="F15" s="66">
        <v>6256000</v>
      </c>
      <c r="G15" s="142"/>
      <c r="H15" s="142"/>
      <c r="I15" s="264">
        <f t="shared" ref="I15:I26" si="0">ROUND(IF(E15&lt;&gt;"",I14+F15+G15-H15,0),0)</f>
        <v>21880906</v>
      </c>
      <c r="J15" s="143"/>
    </row>
    <row r="16" spans="1:10" s="108" customFormat="1" ht="18" customHeight="1">
      <c r="A16" s="65"/>
      <c r="B16" s="65"/>
      <c r="C16" s="140"/>
      <c r="D16" s="141"/>
      <c r="E16" s="73" t="s">
        <v>105</v>
      </c>
      <c r="F16" s="66">
        <v>3733610</v>
      </c>
      <c r="G16" s="142">
        <f>ROUND(F16*10%,0)</f>
        <v>373361</v>
      </c>
      <c r="H16" s="142"/>
      <c r="I16" s="264">
        <f t="shared" si="0"/>
        <v>25987877</v>
      </c>
      <c r="J16" s="143"/>
    </row>
    <row r="17" spans="1:10" s="108" customFormat="1" ht="18" customHeight="1">
      <c r="A17" s="65">
        <v>42667</v>
      </c>
      <c r="B17" s="65"/>
      <c r="C17" s="140"/>
      <c r="D17" s="141"/>
      <c r="E17" s="73" t="s">
        <v>17</v>
      </c>
      <c r="F17" s="66"/>
      <c r="G17" s="142"/>
      <c r="H17" s="142">
        <v>10803694</v>
      </c>
      <c r="I17" s="264">
        <f t="shared" si="0"/>
        <v>15184183</v>
      </c>
      <c r="J17" s="143"/>
    </row>
    <row r="18" spans="1:10" s="108" customFormat="1" ht="18" customHeight="1">
      <c r="A18" s="65">
        <v>42688</v>
      </c>
      <c r="B18" s="65"/>
      <c r="C18" s="140"/>
      <c r="D18" s="141"/>
      <c r="E18" s="73" t="s">
        <v>28</v>
      </c>
      <c r="F18" s="66">
        <v>7600700</v>
      </c>
      <c r="G18" s="142"/>
      <c r="H18" s="142"/>
      <c r="I18" s="264">
        <f t="shared" si="0"/>
        <v>22784883</v>
      </c>
      <c r="J18" s="143"/>
    </row>
    <row r="19" spans="1:10" s="266" customFormat="1" ht="18" customHeight="1">
      <c r="A19" s="65">
        <v>42685</v>
      </c>
      <c r="B19" s="65"/>
      <c r="C19" s="140"/>
      <c r="D19" s="141"/>
      <c r="E19" s="73" t="s">
        <v>105</v>
      </c>
      <c r="F19" s="66">
        <v>3784990</v>
      </c>
      <c r="G19" s="142">
        <f>ROUND(F19*10%,0)</f>
        <v>378499</v>
      </c>
      <c r="H19" s="142"/>
      <c r="I19" s="264">
        <f t="shared" si="0"/>
        <v>26948372</v>
      </c>
      <c r="J19" s="143"/>
    </row>
    <row r="20" spans="1:10" s="266" customFormat="1" ht="18" customHeight="1">
      <c r="A20" s="65">
        <v>42688</v>
      </c>
      <c r="B20" s="65"/>
      <c r="C20" s="140"/>
      <c r="D20" s="141"/>
      <c r="E20" s="73" t="s">
        <v>28</v>
      </c>
      <c r="F20" s="66">
        <v>7604100</v>
      </c>
      <c r="G20" s="142"/>
      <c r="H20" s="142"/>
      <c r="I20" s="264">
        <f t="shared" si="0"/>
        <v>34552472</v>
      </c>
      <c r="J20" s="143"/>
    </row>
    <row r="21" spans="1:10" s="266" customFormat="1" ht="18" customHeight="1">
      <c r="A21" s="65">
        <v>42688</v>
      </c>
      <c r="B21" s="65"/>
      <c r="C21" s="140"/>
      <c r="D21" s="141"/>
      <c r="E21" s="73" t="s">
        <v>105</v>
      </c>
      <c r="F21" s="66">
        <v>3786370</v>
      </c>
      <c r="G21" s="142">
        <f>ROUND(F21*10%,0)</f>
        <v>378637</v>
      </c>
      <c r="H21" s="142"/>
      <c r="I21" s="264">
        <f t="shared" si="0"/>
        <v>38717479</v>
      </c>
      <c r="J21" s="143"/>
    </row>
    <row r="22" spans="1:10" s="266" customFormat="1" ht="18" customHeight="1">
      <c r="A22" s="65">
        <v>42706</v>
      </c>
      <c r="B22" s="65"/>
      <c r="C22" s="140"/>
      <c r="D22" s="141"/>
      <c r="E22" s="73" t="s">
        <v>28</v>
      </c>
      <c r="F22" s="66">
        <v>7723100</v>
      </c>
      <c r="G22" s="142"/>
      <c r="H22" s="142"/>
      <c r="I22" s="264">
        <f t="shared" si="0"/>
        <v>46440579</v>
      </c>
      <c r="J22" s="143"/>
    </row>
    <row r="23" spans="1:10" s="266" customFormat="1" ht="18" customHeight="1">
      <c r="A23" s="65">
        <v>42706</v>
      </c>
      <c r="B23" s="65"/>
      <c r="C23" s="140"/>
      <c r="D23" s="141"/>
      <c r="E23" s="73" t="s">
        <v>105</v>
      </c>
      <c r="F23" s="66">
        <v>3834670</v>
      </c>
      <c r="G23" s="142">
        <f>ROUND(F23*10%,0)</f>
        <v>383467</v>
      </c>
      <c r="H23" s="142"/>
      <c r="I23" s="264">
        <f t="shared" si="0"/>
        <v>50658716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68" customFormat="1" ht="18" customHeight="1">
      <c r="A27" s="602" t="s">
        <v>3</v>
      </c>
      <c r="B27" s="602"/>
      <c r="C27" s="602"/>
      <c r="D27" s="602"/>
      <c r="E27" s="602"/>
      <c r="F27" s="67">
        <f>SUM(F12:F26)</f>
        <v>59137000</v>
      </c>
      <c r="G27" s="67">
        <f>SUM(G12:G26)</f>
        <v>2325410</v>
      </c>
      <c r="H27" s="67">
        <f>SUM(H12:H26)</f>
        <v>10803694</v>
      </c>
      <c r="I27" s="468">
        <f>F27+G27-H27</f>
        <v>50658716</v>
      </c>
      <c r="J27" s="62"/>
    </row>
    <row r="28" spans="1:10" ht="18" customHeight="1"/>
    <row r="29" spans="1:10" ht="21" customHeight="1">
      <c r="D29" s="606">
        <f>I27</f>
        <v>50658716</v>
      </c>
      <c r="E29" s="606"/>
      <c r="F29" s="69" t="s">
        <v>20</v>
      </c>
      <c r="G29" s="69"/>
    </row>
    <row r="30" spans="1:10" ht="21" customHeight="1"/>
    <row r="31" spans="1:10" ht="21" customHeight="1"/>
    <row r="32" spans="1:10" ht="14.25" customHeight="1">
      <c r="H32" s="70" t="s">
        <v>21</v>
      </c>
    </row>
    <row r="33" spans="1:10" ht="21" customHeight="1">
      <c r="A33" s="55" t="s">
        <v>22</v>
      </c>
      <c r="B33" s="70"/>
      <c r="F33" s="55" t="s">
        <v>23</v>
      </c>
    </row>
    <row r="34" spans="1:10" ht="21" customHeight="1"/>
    <row r="35" spans="1:10" ht="21" customHeight="1"/>
    <row r="36" spans="1:10" ht="21" customHeight="1"/>
    <row r="37" spans="1:10" ht="21" customHeight="1"/>
    <row r="38" spans="1:10" ht="21" customHeight="1"/>
    <row r="39" spans="1:10" ht="21" customHeight="1"/>
    <row r="40" spans="1:10" s="54" customFormat="1" ht="21" customHeight="1">
      <c r="B40" s="129"/>
      <c r="C40" s="55"/>
      <c r="D40" s="56"/>
      <c r="E40" s="57"/>
      <c r="F40" s="55"/>
      <c r="G40" s="55"/>
      <c r="H40" s="55"/>
      <c r="I40" s="55"/>
      <c r="J40" s="50"/>
    </row>
    <row r="41" spans="1:10" s="54" customFormat="1" ht="21" customHeight="1">
      <c r="B41" s="129"/>
      <c r="C41" s="55"/>
      <c r="D41" s="56"/>
      <c r="E41" s="57"/>
      <c r="F41" s="55"/>
      <c r="G41" s="55"/>
      <c r="H41" s="55"/>
      <c r="I41" s="55"/>
      <c r="J41" s="50"/>
    </row>
    <row r="42" spans="1:10" s="54" customFormat="1" ht="21" customHeight="1">
      <c r="B42" s="129"/>
      <c r="C42" s="55"/>
      <c r="D42" s="56"/>
      <c r="E42" s="57"/>
      <c r="F42" s="55"/>
      <c r="G42" s="55"/>
      <c r="H42" s="55"/>
      <c r="I42" s="55"/>
      <c r="J42" s="50"/>
    </row>
    <row r="43" spans="1:10" s="54" customFormat="1" ht="21" customHeight="1">
      <c r="B43" s="129"/>
      <c r="C43" s="55"/>
      <c r="D43" s="56"/>
      <c r="E43" s="57"/>
      <c r="F43" s="55"/>
      <c r="G43" s="55"/>
      <c r="H43" s="55"/>
      <c r="I43" s="55"/>
      <c r="J43" s="50"/>
    </row>
    <row r="44" spans="1:10" s="54" customFormat="1" ht="21" customHeight="1">
      <c r="B44" s="129"/>
      <c r="C44" s="55"/>
      <c r="D44" s="56"/>
      <c r="E44" s="57"/>
      <c r="F44" s="55"/>
      <c r="G44" s="55"/>
      <c r="H44" s="55"/>
      <c r="I44" s="55"/>
      <c r="J44" s="50"/>
    </row>
    <row r="45" spans="1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</sheetData>
  <autoFilter ref="A11:J27"/>
  <mergeCells count="5">
    <mergeCell ref="A2:D2"/>
    <mergeCell ref="A5:I5"/>
    <mergeCell ref="A6:I6"/>
    <mergeCell ref="A27:E27"/>
    <mergeCell ref="D29:E29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5" zoomScale="90" workbookViewId="0">
      <pane ySplit="7" topLeftCell="A12" activePane="bottomLeft" state="frozen"/>
      <selection activeCell="B61" sqref="B61"/>
      <selection pane="bottomLeft" activeCell="A5" sqref="A1:XFD104857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15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515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117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2154</v>
      </c>
      <c r="F13" s="66">
        <v>2569100</v>
      </c>
      <c r="G13" s="142">
        <f>F13*10%</f>
        <v>256910</v>
      </c>
      <c r="H13" s="142"/>
      <c r="I13" s="264">
        <f t="shared" ref="I13:I31" si="0">ROUND(IF(E13&lt;&gt;"",I12+F13+G13-H13,0),0)</f>
        <v>27710536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ref="I16:I30" si="1">ROUND(IF(E16&lt;&gt;"",I15+F16+G16-H16,0),0)</f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1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1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1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1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1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1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602" t="s">
        <v>3</v>
      </c>
      <c r="B33" s="602"/>
      <c r="C33" s="602"/>
      <c r="D33" s="602"/>
      <c r="E33" s="602"/>
      <c r="F33" s="67">
        <f>SUM(F12:F32)</f>
        <v>27453626</v>
      </c>
      <c r="G33" s="67">
        <f>SUM(G12:G32)</f>
        <v>256910</v>
      </c>
      <c r="H33" s="67">
        <f>SUM(H12:H32)</f>
        <v>0</v>
      </c>
      <c r="I33" s="514">
        <f>F33+G33-H33</f>
        <v>27710536</v>
      </c>
      <c r="J33" s="62"/>
    </row>
    <row r="34" spans="1:10" ht="18" customHeight="1"/>
    <row r="35" spans="1:10" ht="21" customHeight="1">
      <c r="D35" s="606">
        <f>I33</f>
        <v>27710536</v>
      </c>
      <c r="E35" s="606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autoFilter ref="A11:J33"/>
  <mergeCells count="5">
    <mergeCell ref="A2:D2"/>
    <mergeCell ref="A5:I5"/>
    <mergeCell ref="A6:I6"/>
    <mergeCell ref="A33:E33"/>
    <mergeCell ref="D35:E35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2" workbookViewId="0">
      <selection activeCell="A2" sqref="A1:XFD104857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66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566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2209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40"/>
      <c r="D12" s="141"/>
      <c r="E12" s="73" t="s">
        <v>28</v>
      </c>
      <c r="F12" s="66">
        <v>10528000</v>
      </c>
      <c r="G12" s="142"/>
      <c r="H12" s="142"/>
      <c r="I12" s="264">
        <f>ROUND(IF(E12&lt;&gt;"",F12+G12-H12,0),0)</f>
        <v>10528000</v>
      </c>
      <c r="J12" s="143"/>
    </row>
    <row r="13" spans="1:10" s="108" customFormat="1" ht="18" customHeight="1">
      <c r="A13" s="65">
        <v>42460</v>
      </c>
      <c r="B13" s="65"/>
      <c r="C13" s="140"/>
      <c r="D13" s="141"/>
      <c r="E13" s="73" t="s">
        <v>105</v>
      </c>
      <c r="F13" s="66">
        <v>5219200</v>
      </c>
      <c r="G13" s="142">
        <f>F13*10%</f>
        <v>521920</v>
      </c>
      <c r="H13" s="142"/>
      <c r="I13" s="264">
        <f t="shared" ref="I13:I31" si="0">ROUND(IF(E13&lt;&gt;"",I12+F13+G13-H13,0),0)</f>
        <v>16269120</v>
      </c>
      <c r="J13" s="143"/>
    </row>
    <row r="14" spans="1:10" s="266" customFormat="1" ht="18" customHeight="1">
      <c r="A14" s="280">
        <v>42537</v>
      </c>
      <c r="B14" s="280"/>
      <c r="C14" s="281"/>
      <c r="D14" s="282"/>
      <c r="E14" s="467" t="s">
        <v>17</v>
      </c>
      <c r="F14" s="283"/>
      <c r="G14" s="283"/>
      <c r="H14" s="283">
        <v>16269120</v>
      </c>
      <c r="I14" s="569">
        <f t="shared" ref="I14:I16" si="1">ROUND(IF(E14&lt;&gt;"",I13+F14+G14-H14,0),0)</f>
        <v>0</v>
      </c>
      <c r="J14" s="284"/>
    </row>
    <row r="15" spans="1:10" s="108" customFormat="1" ht="18" customHeight="1">
      <c r="A15" s="65">
        <v>42704</v>
      </c>
      <c r="B15" s="65"/>
      <c r="C15" s="140"/>
      <c r="D15" s="141"/>
      <c r="E15" s="73" t="s">
        <v>28</v>
      </c>
      <c r="F15" s="66">
        <v>45560000</v>
      </c>
      <c r="G15" s="142"/>
      <c r="H15" s="142"/>
      <c r="I15" s="264">
        <f t="shared" si="1"/>
        <v>45560000</v>
      </c>
      <c r="J15" s="143"/>
    </row>
    <row r="16" spans="1:10" s="108" customFormat="1" ht="18" customHeight="1">
      <c r="A16" s="65">
        <v>42704</v>
      </c>
      <c r="B16" s="65"/>
      <c r="C16" s="140"/>
      <c r="D16" s="141"/>
      <c r="E16" s="73" t="s">
        <v>105</v>
      </c>
      <c r="F16" s="66">
        <v>20661460</v>
      </c>
      <c r="G16" s="142">
        <f t="shared" ref="G16" si="2">F16*10%</f>
        <v>2066146</v>
      </c>
      <c r="H16" s="142"/>
      <c r="I16" s="264">
        <f t="shared" si="1"/>
        <v>68287606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0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0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0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0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0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0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0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0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0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602" t="s">
        <v>3</v>
      </c>
      <c r="B33" s="602"/>
      <c r="C33" s="602"/>
      <c r="D33" s="602"/>
      <c r="E33" s="602"/>
      <c r="F33" s="67">
        <f>SUM(F12:F32)</f>
        <v>81968660</v>
      </c>
      <c r="G33" s="67">
        <f>SUM(G12:G32)</f>
        <v>2588066</v>
      </c>
      <c r="H33" s="67">
        <f>SUM(H12:H32)</f>
        <v>16269120</v>
      </c>
      <c r="I33" s="565">
        <f>F33+G33-H33</f>
        <v>68287606</v>
      </c>
      <c r="J33" s="62"/>
    </row>
    <row r="34" spans="1:10" ht="18" customHeight="1"/>
    <row r="35" spans="1:10" ht="21" customHeight="1">
      <c r="D35" s="606">
        <f>I33</f>
        <v>68287606</v>
      </c>
      <c r="E35" s="606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16" workbookViewId="0">
      <selection activeCell="G20" sqref="G20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68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05" t="s">
        <v>10</v>
      </c>
      <c r="B2" s="605"/>
      <c r="C2" s="605"/>
      <c r="D2" s="605"/>
      <c r="E2" s="134"/>
      <c r="F2" s="135"/>
      <c r="G2" s="135"/>
      <c r="H2" s="135"/>
      <c r="J2" s="136"/>
    </row>
    <row r="3" spans="1:10" s="19" customFormat="1" ht="18" customHeight="1">
      <c r="A3" s="568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3" t="s">
        <v>2209</v>
      </c>
      <c r="B5" s="603"/>
      <c r="C5" s="603"/>
      <c r="D5" s="603"/>
      <c r="E5" s="603"/>
      <c r="F5" s="603"/>
      <c r="G5" s="603"/>
      <c r="H5" s="603"/>
      <c r="I5" s="603"/>
      <c r="J5" s="81"/>
    </row>
    <row r="6" spans="1:10" ht="9" hidden="1" customHeight="1">
      <c r="A6" s="604"/>
      <c r="B6" s="604"/>
      <c r="C6" s="604"/>
      <c r="D6" s="604"/>
      <c r="E6" s="604"/>
      <c r="F6" s="604"/>
      <c r="G6" s="604"/>
      <c r="H6" s="604"/>
      <c r="I6" s="60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40"/>
      <c r="D12" s="141"/>
      <c r="E12" s="73" t="s">
        <v>2212</v>
      </c>
      <c r="F12" s="66">
        <v>22593700</v>
      </c>
      <c r="G12" s="142"/>
      <c r="H12" s="142"/>
      <c r="I12" s="264">
        <f>ROUND(IF(E12&lt;&gt;"",F12+G12-H12,0),0)</f>
        <v>22593700</v>
      </c>
      <c r="J12" s="143"/>
    </row>
    <row r="13" spans="1:10" s="108" customFormat="1" ht="18" customHeight="1">
      <c r="A13" s="65">
        <v>42685</v>
      </c>
      <c r="B13" s="65"/>
      <c r="C13" s="140"/>
      <c r="D13" s="141"/>
      <c r="E13" s="73" t="s">
        <v>105</v>
      </c>
      <c r="F13" s="66">
        <v>11095520</v>
      </c>
      <c r="G13" s="142">
        <f>F13*10%</f>
        <v>1109552</v>
      </c>
      <c r="H13" s="142"/>
      <c r="I13" s="264">
        <f t="shared" ref="I13:I31" si="0">ROUND(IF(E13&lt;&gt;"",I12+F13+G13-H13,0),0)</f>
        <v>34798772</v>
      </c>
      <c r="J13" s="143"/>
    </row>
    <row r="14" spans="1:10" s="577" customFormat="1" ht="18" customHeight="1">
      <c r="A14" s="570">
        <v>42688</v>
      </c>
      <c r="B14" s="570"/>
      <c r="C14" s="571"/>
      <c r="D14" s="572"/>
      <c r="E14" s="573" t="s">
        <v>2212</v>
      </c>
      <c r="F14" s="574">
        <v>22583600</v>
      </c>
      <c r="G14" s="574"/>
      <c r="H14" s="574"/>
      <c r="I14" s="575">
        <f t="shared" si="0"/>
        <v>57382372</v>
      </c>
      <c r="J14" s="576"/>
    </row>
    <row r="15" spans="1:10" s="108" customFormat="1" ht="18" customHeight="1">
      <c r="A15" s="65">
        <v>42688</v>
      </c>
      <c r="B15" s="65"/>
      <c r="C15" s="140"/>
      <c r="D15" s="141"/>
      <c r="E15" s="73" t="s">
        <v>105</v>
      </c>
      <c r="F15" s="66">
        <v>11090560</v>
      </c>
      <c r="G15" s="142">
        <f>F15*10%</f>
        <v>1109056</v>
      </c>
      <c r="H15" s="142"/>
      <c r="I15" s="264">
        <f t="shared" si="0"/>
        <v>69581988</v>
      </c>
      <c r="J15" s="143"/>
    </row>
    <row r="16" spans="1:10" s="108" customFormat="1" ht="18" customHeight="1">
      <c r="A16" s="65">
        <v>42702</v>
      </c>
      <c r="B16" s="65"/>
      <c r="C16" s="140"/>
      <c r="D16" s="141"/>
      <c r="E16" s="73" t="s">
        <v>2212</v>
      </c>
      <c r="F16" s="66">
        <v>46015600</v>
      </c>
      <c r="G16" s="142"/>
      <c r="H16" s="142"/>
      <c r="I16" s="264">
        <f t="shared" si="0"/>
        <v>115597588</v>
      </c>
      <c r="J16" s="143"/>
    </row>
    <row r="17" spans="1:10" s="108" customFormat="1" ht="18" customHeight="1">
      <c r="A17" s="65">
        <v>42702</v>
      </c>
      <c r="B17" s="65"/>
      <c r="C17" s="140"/>
      <c r="D17" s="141"/>
      <c r="E17" s="73" t="s">
        <v>105</v>
      </c>
      <c r="F17" s="66">
        <v>21458760</v>
      </c>
      <c r="G17" s="142">
        <f>F17*10%</f>
        <v>2145876</v>
      </c>
      <c r="H17" s="142"/>
      <c r="I17" s="264">
        <f t="shared" si="0"/>
        <v>139202224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0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0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0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0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0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0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0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0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602" t="s">
        <v>3</v>
      </c>
      <c r="B33" s="602"/>
      <c r="C33" s="602"/>
      <c r="D33" s="602"/>
      <c r="E33" s="602"/>
      <c r="F33" s="67">
        <f>SUM(F12:F32)</f>
        <v>134837740</v>
      </c>
      <c r="G33" s="67">
        <f>SUM(G12:G32)</f>
        <v>4364484</v>
      </c>
      <c r="H33" s="67">
        <f>SUM(H12:H32)</f>
        <v>0</v>
      </c>
      <c r="I33" s="567">
        <f>F33+G33-H33</f>
        <v>139202224</v>
      </c>
      <c r="J33" s="62"/>
    </row>
    <row r="34" spans="1:10" ht="18" customHeight="1"/>
    <row r="35" spans="1:10" ht="21" customHeight="1">
      <c r="D35" s="606">
        <f>I33</f>
        <v>139202224</v>
      </c>
      <c r="E35" s="606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66"/>
  <sheetViews>
    <sheetView topLeftCell="A148" workbookViewId="0">
      <selection activeCell="A158" sqref="A157:I166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609" t="s">
        <v>483</v>
      </c>
      <c r="B1" s="609"/>
      <c r="C1" s="609"/>
      <c r="D1" s="609"/>
      <c r="E1" s="609"/>
      <c r="F1" s="609"/>
      <c r="G1" s="609"/>
      <c r="H1" s="609"/>
      <c r="I1" s="609"/>
    </row>
    <row r="2" spans="1:16">
      <c r="A2" s="610" t="s">
        <v>484</v>
      </c>
      <c r="B2" s="610"/>
      <c r="C2" s="610"/>
      <c r="D2" s="610"/>
      <c r="E2" s="610"/>
      <c r="F2" s="610"/>
      <c r="G2" s="610"/>
      <c r="H2" s="610"/>
      <c r="I2" s="610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607" t="s">
        <v>485</v>
      </c>
      <c r="B4" s="607"/>
      <c r="C4" s="607"/>
      <c r="D4" s="607"/>
      <c r="E4" s="607"/>
      <c r="F4" s="607"/>
      <c r="G4" s="607"/>
      <c r="H4" s="607"/>
      <c r="I4" s="607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608" t="s">
        <v>3</v>
      </c>
      <c r="B9" s="608"/>
      <c r="C9" s="608"/>
      <c r="D9" s="608"/>
      <c r="E9" s="608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611"/>
      <c r="H11" s="611"/>
      <c r="I11" s="611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608" t="s">
        <v>3</v>
      </c>
      <c r="B17" s="608"/>
      <c r="C17" s="608"/>
      <c r="D17" s="608"/>
      <c r="E17" s="608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613" t="s">
        <v>499</v>
      </c>
      <c r="B18" s="613"/>
      <c r="C18" s="613"/>
      <c r="D18" s="613"/>
      <c r="E18" s="613"/>
      <c r="F18" s="613"/>
      <c r="G18" s="613"/>
      <c r="H18" s="613"/>
      <c r="I18" s="613"/>
    </row>
    <row r="20" spans="1:12">
      <c r="A20" s="614" t="s">
        <v>500</v>
      </c>
      <c r="B20" s="614"/>
      <c r="C20" s="614"/>
      <c r="D20" s="614"/>
      <c r="G20" s="611" t="s">
        <v>501</v>
      </c>
      <c r="H20" s="611"/>
      <c r="I20" s="611"/>
    </row>
    <row r="21" spans="1:12">
      <c r="A21" s="612" t="s">
        <v>502</v>
      </c>
      <c r="B21" s="612"/>
      <c r="C21" s="612"/>
      <c r="D21" s="612"/>
      <c r="G21" s="611"/>
      <c r="H21" s="611"/>
      <c r="I21" s="611"/>
    </row>
    <row r="22" spans="1:12">
      <c r="A22" s="612" t="s">
        <v>503</v>
      </c>
      <c r="B22" s="612"/>
      <c r="C22" s="612"/>
      <c r="D22" s="612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611"/>
      <c r="H24" s="611"/>
      <c r="I24" s="611"/>
    </row>
    <row r="25" spans="1:12">
      <c r="A25" s="612"/>
      <c r="B25" s="612"/>
      <c r="C25" s="612"/>
      <c r="D25" s="612"/>
    </row>
    <row r="26" spans="1:12" ht="22.5">
      <c r="A26" s="609" t="s">
        <v>483</v>
      </c>
      <c r="B26" s="609"/>
      <c r="C26" s="609"/>
      <c r="D26" s="609"/>
      <c r="E26" s="609"/>
      <c r="F26" s="609"/>
      <c r="G26" s="609"/>
      <c r="H26" s="609"/>
      <c r="I26" s="609"/>
    </row>
    <row r="27" spans="1:12">
      <c r="A27" s="610" t="s">
        <v>484</v>
      </c>
      <c r="B27" s="610"/>
      <c r="C27" s="610"/>
      <c r="D27" s="610"/>
      <c r="E27" s="610"/>
      <c r="F27" s="610"/>
      <c r="G27" s="610"/>
      <c r="H27" s="610"/>
      <c r="I27" s="610"/>
    </row>
    <row r="28" spans="1:12" ht="22.5">
      <c r="A28" s="607" t="s">
        <v>505</v>
      </c>
      <c r="B28" s="607"/>
      <c r="C28" s="607"/>
      <c r="D28" s="607"/>
      <c r="E28" s="607"/>
      <c r="F28" s="607"/>
      <c r="G28" s="607"/>
      <c r="H28" s="607"/>
      <c r="I28" s="607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608" t="s">
        <v>3</v>
      </c>
      <c r="B31" s="608"/>
      <c r="C31" s="608"/>
      <c r="D31" s="608"/>
      <c r="E31" s="608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611"/>
      <c r="H32" s="611"/>
      <c r="I32" s="611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608" t="s">
        <v>3</v>
      </c>
      <c r="B38" s="608"/>
      <c r="C38" s="608"/>
      <c r="D38" s="608"/>
      <c r="E38" s="608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608" t="s">
        <v>3</v>
      </c>
      <c r="B44" s="608"/>
      <c r="C44" s="608"/>
      <c r="D44" s="608"/>
      <c r="E44" s="608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609" t="s">
        <v>483</v>
      </c>
      <c r="B48" s="609"/>
      <c r="C48" s="609"/>
      <c r="D48" s="609"/>
      <c r="E48" s="609"/>
      <c r="F48" s="609"/>
      <c r="G48" s="609"/>
      <c r="H48" s="609"/>
      <c r="I48" s="609"/>
    </row>
    <row r="49" spans="1:16">
      <c r="A49" s="610" t="s">
        <v>484</v>
      </c>
      <c r="B49" s="610"/>
      <c r="C49" s="610"/>
      <c r="D49" s="610"/>
      <c r="E49" s="610"/>
      <c r="F49" s="610"/>
      <c r="G49" s="610"/>
      <c r="H49" s="610"/>
      <c r="I49" s="610"/>
    </row>
    <row r="50" spans="1:16" ht="22.5">
      <c r="A50" s="607" t="s">
        <v>509</v>
      </c>
      <c r="B50" s="607"/>
      <c r="C50" s="607"/>
      <c r="D50" s="607"/>
      <c r="E50" s="607"/>
      <c r="F50" s="607"/>
      <c r="G50" s="607"/>
      <c r="H50" s="607"/>
      <c r="I50" s="607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608" t="s">
        <v>3</v>
      </c>
      <c r="B54" s="608"/>
      <c r="C54" s="608"/>
      <c r="D54" s="608"/>
      <c r="E54" s="608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608" t="s">
        <v>3</v>
      </c>
      <c r="B61" s="608"/>
      <c r="C61" s="608"/>
      <c r="D61" s="608"/>
      <c r="E61" s="608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611"/>
      <c r="H63" s="611"/>
      <c r="I63" s="611"/>
    </row>
    <row r="65" spans="1:16" ht="22.5">
      <c r="A65" s="609" t="s">
        <v>483</v>
      </c>
      <c r="B65" s="609"/>
      <c r="C65" s="609"/>
      <c r="D65" s="609"/>
      <c r="E65" s="609"/>
      <c r="F65" s="609"/>
      <c r="G65" s="609"/>
      <c r="H65" s="609"/>
      <c r="I65" s="609"/>
    </row>
    <row r="66" spans="1:16">
      <c r="A66" s="610" t="s">
        <v>484</v>
      </c>
      <c r="B66" s="610"/>
      <c r="C66" s="610"/>
      <c r="D66" s="610"/>
      <c r="E66" s="610"/>
      <c r="F66" s="610"/>
      <c r="G66" s="610"/>
      <c r="H66" s="610"/>
      <c r="I66" s="610"/>
    </row>
    <row r="67" spans="1:16" ht="22.5" hidden="1">
      <c r="A67" s="607" t="s">
        <v>509</v>
      </c>
      <c r="B67" s="607"/>
      <c r="C67" s="607"/>
      <c r="D67" s="607"/>
      <c r="E67" s="607"/>
      <c r="F67" s="607"/>
      <c r="G67" s="607"/>
      <c r="H67" s="607"/>
      <c r="I67" s="607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608" t="s">
        <v>3</v>
      </c>
      <c r="B71" s="608"/>
      <c r="C71" s="608"/>
      <c r="D71" s="608"/>
      <c r="E71" s="608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608" t="s">
        <v>3</v>
      </c>
      <c r="B78" s="608"/>
      <c r="C78" s="608"/>
      <c r="D78" s="608"/>
      <c r="E78" s="608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611"/>
      <c r="H80" s="611"/>
      <c r="I80" s="611"/>
    </row>
    <row r="81" spans="1:16">
      <c r="A81" s="612"/>
      <c r="B81" s="612"/>
      <c r="C81" s="612"/>
      <c r="D81" s="612"/>
    </row>
    <row r="82" spans="1:16" ht="22.5">
      <c r="A82" s="609" t="s">
        <v>483</v>
      </c>
      <c r="B82" s="609"/>
      <c r="C82" s="609"/>
      <c r="D82" s="609"/>
      <c r="E82" s="609"/>
      <c r="F82" s="609"/>
      <c r="G82" s="609"/>
      <c r="H82" s="609"/>
      <c r="I82" s="609"/>
    </row>
    <row r="83" spans="1:16">
      <c r="A83" s="610" t="s">
        <v>484</v>
      </c>
      <c r="B83" s="610"/>
      <c r="C83" s="610"/>
      <c r="D83" s="610"/>
      <c r="E83" s="610"/>
      <c r="F83" s="610"/>
      <c r="G83" s="610"/>
      <c r="H83" s="610"/>
      <c r="I83" s="610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608" t="s">
        <v>3</v>
      </c>
      <c r="B94" s="608"/>
      <c r="C94" s="608"/>
      <c r="D94" s="608"/>
      <c r="E94" s="608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611"/>
      <c r="H96" s="611"/>
      <c r="I96" s="611"/>
    </row>
    <row r="99" spans="1:16" ht="22.5">
      <c r="A99" s="609" t="s">
        <v>483</v>
      </c>
      <c r="B99" s="609"/>
      <c r="C99" s="609"/>
      <c r="D99" s="609"/>
      <c r="E99" s="609"/>
      <c r="F99" s="609"/>
      <c r="G99" s="609"/>
      <c r="H99" s="609"/>
      <c r="I99" s="609"/>
    </row>
    <row r="100" spans="1:16">
      <c r="A100" s="610" t="s">
        <v>484</v>
      </c>
      <c r="B100" s="610"/>
      <c r="C100" s="610"/>
      <c r="D100" s="610"/>
      <c r="E100" s="610"/>
      <c r="F100" s="610"/>
      <c r="G100" s="610"/>
      <c r="H100" s="610"/>
      <c r="I100" s="610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608" t="s">
        <v>3</v>
      </c>
      <c r="B108" s="608"/>
      <c r="C108" s="608"/>
      <c r="D108" s="608"/>
      <c r="E108" s="608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611"/>
      <c r="H111" s="611"/>
      <c r="I111" s="611"/>
    </row>
    <row r="113" spans="1:16" ht="22.5">
      <c r="A113" s="609" t="s">
        <v>483</v>
      </c>
      <c r="B113" s="609"/>
      <c r="C113" s="609"/>
      <c r="D113" s="609"/>
      <c r="E113" s="609"/>
      <c r="F113" s="609"/>
      <c r="G113" s="609"/>
      <c r="H113" s="609"/>
      <c r="I113" s="609"/>
    </row>
    <row r="114" spans="1:16">
      <c r="A114" s="610" t="s">
        <v>484</v>
      </c>
      <c r="B114" s="610"/>
      <c r="C114" s="610"/>
      <c r="D114" s="610"/>
      <c r="E114" s="610"/>
      <c r="F114" s="610"/>
      <c r="G114" s="610"/>
      <c r="H114" s="610"/>
      <c r="I114" s="610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607" t="s">
        <v>1986</v>
      </c>
      <c r="B116" s="607"/>
      <c r="C116" s="607"/>
      <c r="D116" s="607"/>
      <c r="E116" s="607"/>
      <c r="F116" s="607"/>
      <c r="G116" s="607"/>
      <c r="H116" s="607"/>
      <c r="I116" s="607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608" t="s">
        <v>3</v>
      </c>
      <c r="B123" s="608"/>
      <c r="C123" s="608"/>
      <c r="D123" s="608"/>
      <c r="E123" s="608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2148</v>
      </c>
      <c r="B126" s="227"/>
      <c r="C126" s="228"/>
      <c r="D126" s="229"/>
      <c r="G126" s="611"/>
      <c r="H126" s="611"/>
      <c r="I126" s="611"/>
    </row>
    <row r="128" spans="1:16" ht="22.5">
      <c r="A128" s="609" t="s">
        <v>483</v>
      </c>
      <c r="B128" s="609"/>
      <c r="C128" s="609"/>
      <c r="D128" s="609"/>
      <c r="E128" s="609"/>
      <c r="F128" s="609"/>
      <c r="G128" s="609"/>
      <c r="H128" s="609"/>
      <c r="I128" s="609"/>
    </row>
    <row r="129" spans="1:16">
      <c r="A129" s="610" t="s">
        <v>484</v>
      </c>
      <c r="B129" s="610"/>
      <c r="C129" s="610"/>
      <c r="D129" s="610"/>
      <c r="E129" s="610"/>
      <c r="F129" s="610"/>
      <c r="G129" s="610"/>
      <c r="H129" s="610"/>
      <c r="I129" s="610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607" t="s">
        <v>1987</v>
      </c>
      <c r="B131" s="607"/>
      <c r="C131" s="607"/>
      <c r="D131" s="607"/>
      <c r="E131" s="607"/>
      <c r="F131" s="607"/>
      <c r="G131" s="607"/>
      <c r="H131" s="607"/>
      <c r="I131" s="607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608" t="s">
        <v>3</v>
      </c>
      <c r="B136" s="608"/>
      <c r="C136" s="608"/>
      <c r="D136" s="608"/>
      <c r="E136" s="608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2149</v>
      </c>
      <c r="B140" s="227"/>
      <c r="C140" s="228"/>
      <c r="D140" s="229"/>
      <c r="G140" s="611"/>
      <c r="H140" s="611"/>
      <c r="I140" s="611"/>
    </row>
    <row r="142" spans="1:16" ht="22.5">
      <c r="A142" s="609" t="s">
        <v>483</v>
      </c>
      <c r="B142" s="609"/>
      <c r="C142" s="609"/>
      <c r="D142" s="609"/>
      <c r="E142" s="609"/>
      <c r="F142" s="609"/>
      <c r="G142" s="609"/>
      <c r="H142" s="609"/>
      <c r="I142" s="609"/>
    </row>
    <row r="143" spans="1:16">
      <c r="A143" s="610" t="s">
        <v>484</v>
      </c>
      <c r="B143" s="610"/>
      <c r="C143" s="610"/>
      <c r="D143" s="610"/>
      <c r="E143" s="610"/>
      <c r="F143" s="610"/>
      <c r="G143" s="610"/>
      <c r="H143" s="610"/>
      <c r="I143" s="610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607" t="s">
        <v>2150</v>
      </c>
      <c r="B145" s="607"/>
      <c r="C145" s="607"/>
      <c r="D145" s="607"/>
      <c r="E145" s="607"/>
      <c r="F145" s="607"/>
      <c r="G145" s="607"/>
      <c r="H145" s="607"/>
      <c r="I145" s="607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2151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2152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608" t="s">
        <v>3</v>
      </c>
      <c r="B152" s="608"/>
      <c r="C152" s="608"/>
      <c r="D152" s="608"/>
      <c r="E152" s="608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22300</v>
      </c>
    </row>
    <row r="154" spans="1:16">
      <c r="H154" s="225" t="s">
        <v>1989</v>
      </c>
      <c r="I154" s="422">
        <f>I152*I153</f>
        <v>35479299.99999997</v>
      </c>
    </row>
    <row r="156" spans="1:16">
      <c r="A156" s="227"/>
      <c r="B156" s="227"/>
      <c r="C156" s="228"/>
      <c r="D156" s="229"/>
      <c r="G156" s="611"/>
      <c r="H156" s="611"/>
      <c r="I156" s="611"/>
    </row>
    <row r="157" spans="1:16" ht="22.5">
      <c r="A157" s="607" t="s">
        <v>2213</v>
      </c>
      <c r="B157" s="607"/>
      <c r="C157" s="607"/>
      <c r="D157" s="607"/>
      <c r="E157" s="607"/>
      <c r="F157" s="607"/>
      <c r="G157" s="607"/>
      <c r="H157" s="607"/>
      <c r="I157" s="607"/>
    </row>
    <row r="158" spans="1:16" s="214" customFormat="1" ht="45.75" customHeight="1">
      <c r="A158" s="211" t="s">
        <v>0</v>
      </c>
      <c r="B158" s="211" t="s">
        <v>923</v>
      </c>
      <c r="C158" s="211" t="s">
        <v>486</v>
      </c>
      <c r="D158" s="212" t="s">
        <v>487</v>
      </c>
      <c r="E158" s="213" t="s">
        <v>925</v>
      </c>
      <c r="F158" s="213" t="s">
        <v>489</v>
      </c>
      <c r="G158" s="213" t="s">
        <v>924</v>
      </c>
      <c r="H158" s="213" t="s">
        <v>489</v>
      </c>
      <c r="I158" s="213" t="s">
        <v>491</v>
      </c>
    </row>
    <row r="159" spans="1:16" s="214" customFormat="1" ht="24" customHeight="1">
      <c r="A159" s="215">
        <v>1</v>
      </c>
      <c r="B159" s="272">
        <v>42641</v>
      </c>
      <c r="C159" s="233" t="s">
        <v>497</v>
      </c>
      <c r="D159" s="217">
        <v>940</v>
      </c>
      <c r="E159" s="218">
        <v>11.7</v>
      </c>
      <c r="F159" s="219">
        <f t="shared" ref="F159:F162" si="17">D159*E159</f>
        <v>10998</v>
      </c>
      <c r="G159" s="219">
        <v>11.2</v>
      </c>
      <c r="H159" s="219">
        <f t="shared" ref="H159:H162" si="18">D159*G159</f>
        <v>10528</v>
      </c>
      <c r="I159" s="220">
        <f t="shared" ref="I159:I162" si="19">F159-H159</f>
        <v>470</v>
      </c>
    </row>
    <row r="160" spans="1:16" s="214" customFormat="1" ht="24" customHeight="1">
      <c r="A160" s="215"/>
      <c r="B160" s="272"/>
      <c r="C160" s="233" t="s">
        <v>2151</v>
      </c>
      <c r="D160" s="217">
        <v>1450</v>
      </c>
      <c r="E160" s="218">
        <v>8.4</v>
      </c>
      <c r="F160" s="219">
        <f t="shared" si="17"/>
        <v>12180</v>
      </c>
      <c r="G160" s="219">
        <v>8</v>
      </c>
      <c r="H160" s="219">
        <f t="shared" si="18"/>
        <v>11600</v>
      </c>
      <c r="I160" s="220">
        <f t="shared" si="19"/>
        <v>580</v>
      </c>
    </row>
    <row r="161" spans="1:16" s="214" customFormat="1" ht="24" customHeight="1">
      <c r="A161" s="215"/>
      <c r="B161" s="272"/>
      <c r="C161" s="233" t="s">
        <v>2152</v>
      </c>
      <c r="D161" s="217">
        <v>940</v>
      </c>
      <c r="E161" s="218">
        <v>9.5</v>
      </c>
      <c r="F161" s="219">
        <f t="shared" si="17"/>
        <v>8930</v>
      </c>
      <c r="G161" s="219">
        <v>9.1999999999999993</v>
      </c>
      <c r="H161" s="219">
        <f t="shared" si="18"/>
        <v>8648</v>
      </c>
      <c r="I161" s="220">
        <f t="shared" si="19"/>
        <v>282</v>
      </c>
    </row>
    <row r="162" spans="1:16" s="214" customFormat="1" ht="24" customHeight="1">
      <c r="A162" s="215"/>
      <c r="B162" s="272"/>
      <c r="C162" s="233" t="s">
        <v>922</v>
      </c>
      <c r="D162" s="217">
        <v>2000</v>
      </c>
      <c r="E162" s="218">
        <v>8.6</v>
      </c>
      <c r="F162" s="219">
        <f t="shared" si="17"/>
        <v>17200</v>
      </c>
      <c r="G162" s="219">
        <v>8.3000000000000007</v>
      </c>
      <c r="H162" s="219">
        <f t="shared" si="18"/>
        <v>16600</v>
      </c>
      <c r="I162" s="220">
        <f t="shared" si="19"/>
        <v>600</v>
      </c>
    </row>
    <row r="163" spans="1:16" ht="24" customHeight="1">
      <c r="A163" s="215"/>
      <c r="B163" s="272"/>
      <c r="C163" s="233"/>
      <c r="D163" s="217"/>
      <c r="E163" s="218"/>
      <c r="F163" s="219"/>
      <c r="G163" s="219"/>
      <c r="H163" s="219"/>
      <c r="I163" s="220"/>
      <c r="J163" s="234"/>
      <c r="K163" s="234"/>
      <c r="L163" s="234"/>
      <c r="M163" s="234"/>
      <c r="N163" s="234"/>
      <c r="O163" s="234"/>
      <c r="P163" s="234"/>
    </row>
    <row r="164" spans="1:16" ht="24" customHeight="1">
      <c r="A164" s="608" t="s">
        <v>3</v>
      </c>
      <c r="B164" s="608"/>
      <c r="C164" s="608"/>
      <c r="D164" s="608"/>
      <c r="E164" s="608"/>
      <c r="F164" s="222">
        <f>SUM(F159:F163)</f>
        <v>49308</v>
      </c>
      <c r="G164" s="235"/>
      <c r="H164" s="222">
        <f>SUM(H159:H163)</f>
        <v>47376</v>
      </c>
      <c r="I164" s="222">
        <f>SUM(I159:I163)</f>
        <v>1932</v>
      </c>
    </row>
    <row r="165" spans="1:16">
      <c r="H165" s="225" t="s">
        <v>1988</v>
      </c>
      <c r="I165" s="422">
        <v>22200</v>
      </c>
    </row>
    <row r="166" spans="1:16">
      <c r="H166" s="225" t="s">
        <v>1989</v>
      </c>
      <c r="I166" s="422">
        <f>I164*I165</f>
        <v>42890400</v>
      </c>
    </row>
  </sheetData>
  <mergeCells count="59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57:I157"/>
    <mergeCell ref="A164:E164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615" t="s">
        <v>1991</v>
      </c>
      <c r="B1" s="615"/>
      <c r="C1" s="615"/>
      <c r="D1" s="615"/>
      <c r="E1" s="615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1992</v>
      </c>
      <c r="C3" s="428" t="s">
        <v>487</v>
      </c>
      <c r="D3" s="429" t="s">
        <v>1993</v>
      </c>
      <c r="E3" s="429" t="s">
        <v>1994</v>
      </c>
      <c r="F3" s="427" t="s">
        <v>1995</v>
      </c>
      <c r="G3" s="429" t="s">
        <v>1996</v>
      </c>
    </row>
    <row r="4" spans="1:7" s="423" customFormat="1" ht="17.25" customHeight="1">
      <c r="B4" s="431" t="s">
        <v>1997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1998</v>
      </c>
      <c r="C5" s="436"/>
      <c r="D5" s="437"/>
      <c r="E5" s="438"/>
      <c r="F5" s="439"/>
      <c r="G5" s="440"/>
    </row>
    <row r="6" spans="1:7" ht="17.25" customHeight="1">
      <c r="B6" s="441" t="s">
        <v>1999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2000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2001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616"/>
      <c r="D10" s="616"/>
      <c r="E10" s="455"/>
      <c r="G10" s="456"/>
    </row>
    <row r="11" spans="1:7" ht="18.75" customHeight="1">
      <c r="A11" s="423" t="s">
        <v>2002</v>
      </c>
    </row>
    <row r="12" spans="1:7" s="457" customFormat="1" ht="36.75" customHeight="1">
      <c r="A12" s="427" t="s">
        <v>0</v>
      </c>
      <c r="B12" s="427" t="s">
        <v>1992</v>
      </c>
      <c r="C12" s="428" t="s">
        <v>487</v>
      </c>
      <c r="D12" s="429" t="s">
        <v>1993</v>
      </c>
      <c r="E12" s="429" t="s">
        <v>489</v>
      </c>
    </row>
    <row r="13" spans="1:7" ht="15.75" customHeight="1">
      <c r="A13" s="458">
        <v>1</v>
      </c>
      <c r="B13" s="98" t="s">
        <v>2003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2004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2005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2006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2007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2008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1992</v>
      </c>
      <c r="C24" s="428" t="s">
        <v>2009</v>
      </c>
      <c r="D24" s="429" t="s">
        <v>2010</v>
      </c>
      <c r="E24" s="429" t="s">
        <v>1996</v>
      </c>
      <c r="F24" s="427" t="s">
        <v>1995</v>
      </c>
      <c r="G24" s="429" t="s">
        <v>1996</v>
      </c>
    </row>
    <row r="25" spans="1:7" s="423" customFormat="1" ht="17.25" customHeight="1">
      <c r="B25" s="435" t="s">
        <v>2011</v>
      </c>
      <c r="C25" s="434"/>
      <c r="D25" s="433"/>
      <c r="E25" s="434"/>
      <c r="F25" s="434"/>
      <c r="G25" s="433"/>
    </row>
    <row r="26" spans="1:7" ht="17.25" customHeight="1">
      <c r="B26" s="441" t="s">
        <v>2017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2000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1998</v>
      </c>
      <c r="C28" s="436"/>
      <c r="D28" s="437"/>
      <c r="E28" s="438"/>
      <c r="F28" s="439"/>
      <c r="G28" s="440"/>
    </row>
    <row r="29" spans="1:7" ht="17.25" customHeight="1">
      <c r="B29" s="441" t="s">
        <v>2016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2015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2012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2013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2001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2014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01" t="s">
        <v>9</v>
      </c>
      <c r="B1" s="601"/>
      <c r="C1" s="601"/>
      <c r="E1" s="359"/>
      <c r="F1" s="38"/>
      <c r="G1" s="39"/>
      <c r="H1" s="39"/>
    </row>
    <row r="2" spans="1:10" s="37" customFormat="1" ht="18" customHeight="1">
      <c r="A2" s="601" t="s">
        <v>10</v>
      </c>
      <c r="B2" s="601"/>
      <c r="C2" s="601"/>
      <c r="D2" s="601"/>
      <c r="E2" s="601"/>
      <c r="F2" s="38"/>
      <c r="G2" s="39"/>
      <c r="H2" s="39"/>
    </row>
    <row r="3" spans="1:10" s="37" customFormat="1" ht="18" customHeight="1">
      <c r="A3" s="601" t="s">
        <v>11</v>
      </c>
      <c r="B3" s="601"/>
      <c r="C3" s="622" t="s">
        <v>513</v>
      </c>
      <c r="D3" s="622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23" t="s">
        <v>12</v>
      </c>
      <c r="B5" s="623"/>
      <c r="C5" s="623"/>
      <c r="D5" s="623"/>
      <c r="E5" s="623"/>
      <c r="F5" s="623"/>
      <c r="G5" s="623"/>
      <c r="H5" s="623"/>
      <c r="I5" s="623"/>
    </row>
    <row r="6" spans="1:10" ht="9" customHeight="1">
      <c r="A6" s="624"/>
      <c r="B6" s="624"/>
      <c r="C6" s="624"/>
      <c r="D6" s="624"/>
      <c r="E6" s="624"/>
      <c r="F6" s="624"/>
      <c r="G6" s="624"/>
      <c r="H6" s="624"/>
      <c r="I6" s="624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17" t="s">
        <v>1322</v>
      </c>
      <c r="B12" s="618"/>
      <c r="C12" s="618"/>
      <c r="D12" s="618"/>
      <c r="E12" s="618"/>
      <c r="F12" s="618"/>
      <c r="G12" s="618"/>
      <c r="H12" s="619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620" t="s">
        <v>3</v>
      </c>
      <c r="B30" s="620"/>
      <c r="C30" s="620"/>
      <c r="D30" s="620"/>
      <c r="E30" s="620"/>
      <c r="F30" s="620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621">
        <f>I30</f>
        <v>9400000</v>
      </c>
      <c r="F32" s="621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92"/>
  <sheetViews>
    <sheetView topLeftCell="A5" zoomScale="95" workbookViewId="0">
      <pane ySplit="7" topLeftCell="A91" activePane="bottomLeft" state="frozen"/>
      <selection activeCell="G72" sqref="G72"/>
      <selection pane="bottomLeft" activeCell="G100" sqref="G100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601" t="s">
        <v>9</v>
      </c>
      <c r="B1" s="601"/>
      <c r="C1" s="601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601" t="s">
        <v>11</v>
      </c>
      <c r="B3" s="601"/>
      <c r="C3" s="622" t="s">
        <v>513</v>
      </c>
      <c r="D3" s="622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623" t="s">
        <v>12</v>
      </c>
      <c r="B5" s="623"/>
      <c r="C5" s="623"/>
      <c r="D5" s="623"/>
      <c r="E5" s="623"/>
      <c r="F5" s="623"/>
      <c r="G5" s="623"/>
      <c r="H5" s="623"/>
      <c r="I5" s="623"/>
      <c r="J5" s="623"/>
      <c r="K5" s="623"/>
    </row>
    <row r="6" spans="1:12" ht="9" customHeight="1">
      <c r="A6" s="624"/>
      <c r="B6" s="624"/>
      <c r="C6" s="624"/>
      <c r="D6" s="624"/>
      <c r="E6" s="624"/>
      <c r="F6" s="624"/>
      <c r="G6" s="624"/>
      <c r="H6" s="624"/>
      <c r="I6" s="624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617" t="s">
        <v>1322</v>
      </c>
      <c r="B12" s="618"/>
      <c r="C12" s="618"/>
      <c r="D12" s="618"/>
      <c r="E12" s="618"/>
      <c r="F12" s="618"/>
      <c r="G12" s="618"/>
      <c r="H12" s="618"/>
      <c r="I12" s="618"/>
      <c r="J12" s="619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111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111" si="4">IF(B59&lt;&gt;"",F59*(G59+H59),0)</f>
        <v>27732210</v>
      </c>
      <c r="J59" s="345"/>
      <c r="K59" s="347">
        <f t="shared" ref="K59:K111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2021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2022</v>
      </c>
      <c r="E87" s="258"/>
      <c r="F87" s="350">
        <v>2300</v>
      </c>
      <c r="G87" s="350">
        <v>10000</v>
      </c>
      <c r="H87" s="346">
        <f t="shared" ref="H87:H110" si="12">G87*10%</f>
        <v>1000</v>
      </c>
      <c r="I87" s="346">
        <f t="shared" ref="I87:I110" si="13">IF(B87&lt;&gt;"",F87*(G87+H87),0)</f>
        <v>25300000</v>
      </c>
      <c r="J87" s="345"/>
      <c r="K87" s="347">
        <f t="shared" ref="K87:K110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2023</v>
      </c>
      <c r="E88" s="258"/>
      <c r="F88" s="350">
        <v>1009</v>
      </c>
      <c r="G88" s="350">
        <v>15000</v>
      </c>
      <c r="H88" s="346">
        <f t="shared" ref="H88:H94" si="15">G88*10%</f>
        <v>1500</v>
      </c>
      <c r="I88" s="346">
        <f t="shared" ref="I88:I94" si="16">IF(B88&lt;&gt;"",F88*(G88+H88),0)</f>
        <v>16648500</v>
      </c>
      <c r="J88" s="345"/>
      <c r="K88" s="347">
        <f t="shared" ref="K88:K94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2130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2022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 t="s">
        <v>1323</v>
      </c>
      <c r="C92" s="349"/>
      <c r="D92" s="258" t="s">
        <v>1412</v>
      </c>
      <c r="E92" s="258"/>
      <c r="F92" s="350">
        <v>502</v>
      </c>
      <c r="G92" s="350">
        <v>18200</v>
      </c>
      <c r="H92" s="346">
        <f t="shared" si="15"/>
        <v>1820</v>
      </c>
      <c r="I92" s="346">
        <f t="shared" si="16"/>
        <v>10050040</v>
      </c>
      <c r="J92" s="345"/>
      <c r="K92" s="347">
        <f t="shared" si="17"/>
        <v>100838963.60000002</v>
      </c>
      <c r="L92" s="348"/>
    </row>
    <row r="93" spans="1:12" ht="20.25" customHeight="1">
      <c r="A93" s="349"/>
      <c r="B93" s="344" t="s">
        <v>1323</v>
      </c>
      <c r="C93" s="349"/>
      <c r="D93" s="258" t="s">
        <v>2171</v>
      </c>
      <c r="E93" s="258"/>
      <c r="F93" s="350">
        <v>204</v>
      </c>
      <c r="G93" s="350">
        <v>13500</v>
      </c>
      <c r="H93" s="346">
        <f t="shared" si="15"/>
        <v>1350</v>
      </c>
      <c r="I93" s="346">
        <f t="shared" si="16"/>
        <v>3029400</v>
      </c>
      <c r="J93" s="345"/>
      <c r="K93" s="347">
        <f t="shared" si="17"/>
        <v>103868363.60000002</v>
      </c>
      <c r="L93" s="348"/>
    </row>
    <row r="94" spans="1:12" ht="20.25" customHeight="1">
      <c r="A94" s="349"/>
      <c r="B94" s="344" t="s">
        <v>1323</v>
      </c>
      <c r="C94" s="349"/>
      <c r="D94" s="258" t="s">
        <v>2172</v>
      </c>
      <c r="E94" s="258"/>
      <c r="F94" s="350">
        <v>4468</v>
      </c>
      <c r="G94" s="350">
        <v>10300</v>
      </c>
      <c r="H94" s="346">
        <f t="shared" si="15"/>
        <v>1030</v>
      </c>
      <c r="I94" s="346">
        <f t="shared" si="16"/>
        <v>50622440</v>
      </c>
      <c r="J94" s="345"/>
      <c r="K94" s="347">
        <f t="shared" si="17"/>
        <v>154490803.60000002</v>
      </c>
      <c r="L94" s="348"/>
    </row>
    <row r="95" spans="1:12" ht="20.25" customHeight="1">
      <c r="A95" s="349"/>
      <c r="B95" s="344" t="s">
        <v>1323</v>
      </c>
      <c r="C95" s="349"/>
      <c r="D95" s="258" t="s">
        <v>2173</v>
      </c>
      <c r="E95" s="258"/>
      <c r="F95" s="350">
        <v>1077</v>
      </c>
      <c r="G95" s="350">
        <v>13500</v>
      </c>
      <c r="H95" s="346">
        <f t="shared" ref="H95:H109" si="18">G95*10%</f>
        <v>1350</v>
      </c>
      <c r="I95" s="346">
        <f t="shared" ref="I95:I109" si="19">IF(B95&lt;&gt;"",F95*(G95+H95),0)</f>
        <v>15993450</v>
      </c>
      <c r="J95" s="345"/>
      <c r="K95" s="347">
        <f t="shared" ref="K95:K109" si="20">IF(B95&lt;&gt;"",K94+I95-J95,0)</f>
        <v>170484253.60000002</v>
      </c>
      <c r="L95" s="348"/>
    </row>
    <row r="96" spans="1:12" ht="20.25" customHeight="1">
      <c r="A96" s="349"/>
      <c r="B96" s="344" t="s">
        <v>1323</v>
      </c>
      <c r="C96" s="349"/>
      <c r="D96" s="258" t="s">
        <v>1770</v>
      </c>
      <c r="E96" s="258"/>
      <c r="F96" s="350">
        <v>235</v>
      </c>
      <c r="G96" s="350">
        <v>13000</v>
      </c>
      <c r="H96" s="346">
        <f t="shared" si="18"/>
        <v>1300</v>
      </c>
      <c r="I96" s="346">
        <f t="shared" si="19"/>
        <v>3360500</v>
      </c>
      <c r="J96" s="345"/>
      <c r="K96" s="347">
        <f t="shared" si="20"/>
        <v>173844753.60000002</v>
      </c>
      <c r="L96" s="348"/>
    </row>
    <row r="97" spans="1:12" ht="20.25" customHeight="1">
      <c r="A97" s="349">
        <v>42685</v>
      </c>
      <c r="B97" s="344" t="s">
        <v>1323</v>
      </c>
      <c r="C97" s="349"/>
      <c r="D97" s="258"/>
      <c r="E97" s="258"/>
      <c r="F97" s="350">
        <v>2587</v>
      </c>
      <c r="G97" s="350">
        <v>10300</v>
      </c>
      <c r="H97" s="346">
        <f t="shared" si="18"/>
        <v>1030</v>
      </c>
      <c r="I97" s="346">
        <f t="shared" si="19"/>
        <v>29310710</v>
      </c>
      <c r="J97" s="345"/>
      <c r="K97" s="347">
        <f t="shared" si="20"/>
        <v>203155463.60000002</v>
      </c>
      <c r="L97" s="348"/>
    </row>
    <row r="98" spans="1:12" ht="20.25" customHeight="1">
      <c r="A98" s="349"/>
      <c r="B98" s="344" t="s">
        <v>1323</v>
      </c>
      <c r="C98" s="349"/>
      <c r="D98" s="258"/>
      <c r="E98" s="258"/>
      <c r="F98" s="350">
        <v>1076</v>
      </c>
      <c r="G98" s="350">
        <v>13500</v>
      </c>
      <c r="H98" s="346">
        <f t="shared" si="18"/>
        <v>1350</v>
      </c>
      <c r="I98" s="346">
        <f t="shared" si="19"/>
        <v>15978600</v>
      </c>
      <c r="J98" s="345"/>
      <c r="K98" s="347">
        <f t="shared" si="20"/>
        <v>219134063.60000002</v>
      </c>
      <c r="L98" s="348"/>
    </row>
    <row r="99" spans="1:12" ht="20.25" customHeight="1">
      <c r="A99" s="349"/>
      <c r="B99" s="344" t="s">
        <v>1323</v>
      </c>
      <c r="C99" s="349"/>
      <c r="D99" s="258"/>
      <c r="E99" s="258"/>
      <c r="F99" s="350">
        <v>678</v>
      </c>
      <c r="G99" s="350">
        <v>18200</v>
      </c>
      <c r="H99" s="346">
        <f t="shared" si="18"/>
        <v>1820</v>
      </c>
      <c r="I99" s="346">
        <f t="shared" si="19"/>
        <v>13573560</v>
      </c>
      <c r="J99" s="345"/>
      <c r="K99" s="347">
        <f t="shared" si="20"/>
        <v>232707623.60000002</v>
      </c>
      <c r="L99" s="348"/>
    </row>
    <row r="100" spans="1:12" ht="20.25" customHeight="1">
      <c r="A100" s="349"/>
      <c r="B100" s="344" t="s">
        <v>1323</v>
      </c>
      <c r="C100" s="349"/>
      <c r="D100" s="258"/>
      <c r="E100" s="258"/>
      <c r="F100" s="350"/>
      <c r="G100" s="350"/>
      <c r="H100" s="346">
        <f t="shared" si="18"/>
        <v>0</v>
      </c>
      <c r="I100" s="346">
        <f t="shared" si="19"/>
        <v>0</v>
      </c>
      <c r="J100" s="345"/>
      <c r="K100" s="347">
        <f t="shared" si="20"/>
        <v>232707623.60000002</v>
      </c>
      <c r="L100" s="348"/>
    </row>
    <row r="101" spans="1:12" ht="20.25" customHeight="1">
      <c r="A101" s="349"/>
      <c r="B101" s="344" t="s">
        <v>1323</v>
      </c>
      <c r="C101" s="349"/>
      <c r="D101" s="258"/>
      <c r="E101" s="258"/>
      <c r="F101" s="350"/>
      <c r="G101" s="350"/>
      <c r="H101" s="346">
        <f t="shared" si="18"/>
        <v>0</v>
      </c>
      <c r="I101" s="346">
        <f t="shared" si="19"/>
        <v>0</v>
      </c>
      <c r="J101" s="345"/>
      <c r="K101" s="347">
        <f t="shared" si="20"/>
        <v>232707623.60000002</v>
      </c>
      <c r="L101" s="348"/>
    </row>
    <row r="102" spans="1:12" ht="20.25" customHeight="1">
      <c r="A102" s="349"/>
      <c r="B102" s="344"/>
      <c r="C102" s="349"/>
      <c r="D102" s="258"/>
      <c r="E102" s="258"/>
      <c r="F102" s="350"/>
      <c r="G102" s="350"/>
      <c r="H102" s="346">
        <f t="shared" si="18"/>
        <v>0</v>
      </c>
      <c r="I102" s="346">
        <f t="shared" si="19"/>
        <v>0</v>
      </c>
      <c r="J102" s="345"/>
      <c r="K102" s="347">
        <f t="shared" si="20"/>
        <v>0</v>
      </c>
      <c r="L102" s="348"/>
    </row>
    <row r="103" spans="1:12" ht="20.25" customHeight="1">
      <c r="A103" s="349"/>
      <c r="B103" s="344"/>
      <c r="C103" s="349"/>
      <c r="D103" s="258"/>
      <c r="E103" s="258"/>
      <c r="F103" s="350"/>
      <c r="G103" s="350"/>
      <c r="H103" s="346">
        <f t="shared" si="18"/>
        <v>0</v>
      </c>
      <c r="I103" s="346">
        <f t="shared" si="19"/>
        <v>0</v>
      </c>
      <c r="J103" s="345"/>
      <c r="K103" s="347">
        <f t="shared" si="20"/>
        <v>0</v>
      </c>
      <c r="L103" s="348"/>
    </row>
    <row r="104" spans="1:12" ht="20.25" customHeight="1">
      <c r="A104" s="349"/>
      <c r="B104" s="344"/>
      <c r="C104" s="349"/>
      <c r="D104" s="258"/>
      <c r="E104" s="258"/>
      <c r="F104" s="350"/>
      <c r="G104" s="350"/>
      <c r="H104" s="346">
        <f t="shared" si="18"/>
        <v>0</v>
      </c>
      <c r="I104" s="346">
        <f t="shared" si="19"/>
        <v>0</v>
      </c>
      <c r="J104" s="345"/>
      <c r="K104" s="347">
        <f t="shared" si="20"/>
        <v>0</v>
      </c>
      <c r="L104" s="348"/>
    </row>
    <row r="105" spans="1:12" ht="20.25" customHeight="1">
      <c r="A105" s="349"/>
      <c r="B105" s="344"/>
      <c r="C105" s="349"/>
      <c r="D105" s="258"/>
      <c r="E105" s="258"/>
      <c r="F105" s="350"/>
      <c r="G105" s="350"/>
      <c r="H105" s="346">
        <f t="shared" si="18"/>
        <v>0</v>
      </c>
      <c r="I105" s="346">
        <f t="shared" si="19"/>
        <v>0</v>
      </c>
      <c r="J105" s="345"/>
      <c r="K105" s="347">
        <f t="shared" si="20"/>
        <v>0</v>
      </c>
      <c r="L105" s="348"/>
    </row>
    <row r="106" spans="1:12" ht="20.25" customHeight="1">
      <c r="A106" s="349"/>
      <c r="B106" s="344"/>
      <c r="C106" s="349"/>
      <c r="D106" s="258"/>
      <c r="E106" s="258"/>
      <c r="F106" s="350"/>
      <c r="G106" s="350"/>
      <c r="H106" s="346">
        <f t="shared" si="18"/>
        <v>0</v>
      </c>
      <c r="I106" s="346">
        <f t="shared" si="19"/>
        <v>0</v>
      </c>
      <c r="J106" s="345"/>
      <c r="K106" s="347">
        <f t="shared" si="20"/>
        <v>0</v>
      </c>
      <c r="L106" s="348"/>
    </row>
    <row r="107" spans="1:12" ht="20.25" customHeight="1">
      <c r="A107" s="349"/>
      <c r="B107" s="344"/>
      <c r="C107" s="349"/>
      <c r="D107" s="258"/>
      <c r="E107" s="258"/>
      <c r="F107" s="350"/>
      <c r="G107" s="350"/>
      <c r="H107" s="346">
        <f t="shared" si="18"/>
        <v>0</v>
      </c>
      <c r="I107" s="346">
        <f t="shared" si="19"/>
        <v>0</v>
      </c>
      <c r="J107" s="345"/>
      <c r="K107" s="347">
        <f t="shared" si="20"/>
        <v>0</v>
      </c>
      <c r="L107" s="348"/>
    </row>
    <row r="108" spans="1:12" ht="20.25" customHeight="1">
      <c r="A108" s="349"/>
      <c r="B108" s="344"/>
      <c r="C108" s="349"/>
      <c r="D108" s="258"/>
      <c r="E108" s="258"/>
      <c r="F108" s="350"/>
      <c r="G108" s="350"/>
      <c r="H108" s="346">
        <f t="shared" si="18"/>
        <v>0</v>
      </c>
      <c r="I108" s="346">
        <f t="shared" si="19"/>
        <v>0</v>
      </c>
      <c r="J108" s="345"/>
      <c r="K108" s="347">
        <f t="shared" si="20"/>
        <v>0</v>
      </c>
      <c r="L108" s="348"/>
    </row>
    <row r="109" spans="1:12" ht="20.25" customHeight="1">
      <c r="A109" s="349"/>
      <c r="B109" s="344"/>
      <c r="C109" s="349"/>
      <c r="D109" s="258"/>
      <c r="E109" s="258"/>
      <c r="F109" s="350"/>
      <c r="G109" s="350"/>
      <c r="H109" s="346">
        <f t="shared" si="18"/>
        <v>0</v>
      </c>
      <c r="I109" s="346">
        <f t="shared" si="19"/>
        <v>0</v>
      </c>
      <c r="J109" s="345"/>
      <c r="K109" s="347">
        <f t="shared" si="20"/>
        <v>0</v>
      </c>
      <c r="L109" s="348"/>
    </row>
    <row r="110" spans="1:12" ht="20.25" customHeight="1">
      <c r="A110" s="349"/>
      <c r="B110" s="344"/>
      <c r="C110" s="349"/>
      <c r="D110" s="258"/>
      <c r="E110" s="258"/>
      <c r="F110" s="350"/>
      <c r="G110" s="350"/>
      <c r="H110" s="346">
        <f t="shared" si="12"/>
        <v>0</v>
      </c>
      <c r="I110" s="346">
        <f t="shared" si="13"/>
        <v>0</v>
      </c>
      <c r="J110" s="345"/>
      <c r="K110" s="347">
        <f t="shared" si="14"/>
        <v>0</v>
      </c>
      <c r="L110" s="348"/>
    </row>
    <row r="111" spans="1:12" ht="20.25" customHeight="1">
      <c r="A111" s="349"/>
      <c r="B111" s="351"/>
      <c r="C111" s="349"/>
      <c r="D111" s="258"/>
      <c r="E111" s="258"/>
      <c r="F111" s="350"/>
      <c r="G111" s="350"/>
      <c r="H111" s="346">
        <f t="shared" si="3"/>
        <v>0</v>
      </c>
      <c r="I111" s="346">
        <f t="shared" si="4"/>
        <v>0</v>
      </c>
      <c r="J111" s="345"/>
      <c r="K111" s="347">
        <f t="shared" si="5"/>
        <v>0</v>
      </c>
      <c r="L111" s="348"/>
    </row>
    <row r="112" spans="1:12" s="260" customFormat="1" ht="20.25" customHeight="1">
      <c r="A112" s="625" t="s">
        <v>3</v>
      </c>
      <c r="B112" s="626"/>
      <c r="C112" s="626"/>
      <c r="D112" s="626"/>
      <c r="E112" s="626"/>
      <c r="F112" s="626"/>
      <c r="G112" s="626"/>
      <c r="H112" s="627"/>
      <c r="I112" s="352">
        <f>SUM(I13:I111)</f>
        <v>721669713.5999999</v>
      </c>
      <c r="J112" s="352">
        <f>SUM(J13:J111)</f>
        <v>533007965</v>
      </c>
      <c r="K112" s="352">
        <f>K12+I112-J112</f>
        <v>232707623.5999999</v>
      </c>
      <c r="L112" s="353"/>
    </row>
    <row r="113" spans="1:11" ht="21" customHeight="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 ht="21" customHeight="1">
      <c r="B114" s="261" t="s">
        <v>517</v>
      </c>
      <c r="C114" s="248"/>
      <c r="D114" s="333"/>
      <c r="E114" s="621">
        <f>K112</f>
        <v>232707623.5999999</v>
      </c>
      <c r="F114" s="621"/>
      <c r="G114" s="356" t="s">
        <v>20</v>
      </c>
      <c r="J114" s="244"/>
      <c r="K114" s="244"/>
    </row>
    <row r="115" spans="1:11" ht="21" customHeight="1">
      <c r="B115" s="261" t="s">
        <v>518</v>
      </c>
      <c r="C115" s="262"/>
      <c r="D115" s="357" t="e">
        <f ca="1">[3]!VND(E114, TRUE)</f>
        <v>#NAME?</v>
      </c>
      <c r="E115" s="333"/>
      <c r="F115" s="358"/>
      <c r="J115" s="244"/>
      <c r="K115" s="244"/>
    </row>
    <row r="116" spans="1:11" ht="21" customHeight="1">
      <c r="C116" s="248"/>
      <c r="D116" s="333"/>
      <c r="E116" s="333"/>
      <c r="F116" s="358"/>
      <c r="J116" s="244"/>
      <c r="K116" s="244"/>
    </row>
    <row r="117" spans="1:11" ht="21" customHeight="1">
      <c r="A117" s="333" t="s">
        <v>1361</v>
      </c>
      <c r="C117" s="248"/>
      <c r="D117" s="333"/>
      <c r="E117" s="333"/>
      <c r="F117" s="358"/>
      <c r="G117" s="333" t="s">
        <v>23</v>
      </c>
      <c r="J117" s="244"/>
      <c r="K117" s="244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  <row r="179" spans="1:11">
      <c r="A179" s="354"/>
      <c r="B179" s="248"/>
      <c r="C179" s="248"/>
      <c r="D179" s="248"/>
      <c r="F179" s="355"/>
      <c r="G179" s="355"/>
      <c r="H179" s="355"/>
      <c r="I179" s="355"/>
      <c r="J179" s="355"/>
      <c r="K179" s="355"/>
    </row>
    <row r="180" spans="1:11">
      <c r="A180" s="354"/>
      <c r="B180" s="248"/>
      <c r="C180" s="248"/>
      <c r="D180" s="248"/>
      <c r="F180" s="355"/>
      <c r="G180" s="355"/>
      <c r="H180" s="355"/>
      <c r="I180" s="355"/>
      <c r="J180" s="355"/>
      <c r="K180" s="355"/>
    </row>
    <row r="181" spans="1:11">
      <c r="A181" s="354"/>
      <c r="B181" s="248"/>
      <c r="C181" s="248"/>
      <c r="D181" s="248"/>
      <c r="F181" s="355"/>
      <c r="G181" s="355"/>
      <c r="H181" s="355"/>
      <c r="I181" s="355"/>
      <c r="J181" s="355"/>
      <c r="K181" s="355"/>
    </row>
    <row r="182" spans="1:11">
      <c r="A182" s="354"/>
      <c r="B182" s="248"/>
      <c r="C182" s="248"/>
      <c r="D182" s="248"/>
      <c r="F182" s="355"/>
      <c r="G182" s="355"/>
      <c r="H182" s="355"/>
      <c r="I182" s="355"/>
      <c r="J182" s="355"/>
      <c r="K182" s="355"/>
    </row>
    <row r="183" spans="1:11">
      <c r="A183" s="354"/>
      <c r="B183" s="248"/>
      <c r="C183" s="248"/>
      <c r="D183" s="248"/>
      <c r="F183" s="355"/>
      <c r="G183" s="355"/>
      <c r="H183" s="355"/>
      <c r="I183" s="355"/>
      <c r="J183" s="355"/>
      <c r="K183" s="355"/>
    </row>
    <row r="184" spans="1:11">
      <c r="A184" s="354"/>
      <c r="B184" s="248"/>
      <c r="C184" s="248"/>
      <c r="D184" s="248"/>
      <c r="F184" s="355"/>
      <c r="G184" s="355"/>
      <c r="H184" s="355"/>
      <c r="I184" s="355"/>
      <c r="J184" s="355"/>
      <c r="K184" s="355"/>
    </row>
    <row r="185" spans="1:11">
      <c r="A185" s="354"/>
      <c r="B185" s="248"/>
      <c r="C185" s="248"/>
      <c r="D185" s="248"/>
      <c r="F185" s="355"/>
      <c r="G185" s="355"/>
      <c r="H185" s="355"/>
      <c r="I185" s="355"/>
      <c r="J185" s="355"/>
      <c r="K185" s="355"/>
    </row>
    <row r="186" spans="1:11">
      <c r="A186" s="354"/>
      <c r="B186" s="248"/>
      <c r="C186" s="248"/>
      <c r="D186" s="248"/>
      <c r="F186" s="355"/>
      <c r="G186" s="355"/>
      <c r="H186" s="355"/>
      <c r="I186" s="355"/>
      <c r="J186" s="355"/>
      <c r="K186" s="355"/>
    </row>
    <row r="187" spans="1:11">
      <c r="A187" s="354"/>
      <c r="B187" s="248"/>
      <c r="C187" s="248"/>
      <c r="D187" s="248"/>
      <c r="F187" s="355"/>
      <c r="G187" s="355"/>
      <c r="H187" s="355"/>
      <c r="I187" s="355"/>
      <c r="J187" s="355"/>
      <c r="K187" s="355"/>
    </row>
    <row r="188" spans="1:11">
      <c r="A188" s="354"/>
      <c r="B188" s="248"/>
      <c r="C188" s="248"/>
      <c r="D188" s="248"/>
      <c r="F188" s="355"/>
      <c r="G188" s="355"/>
      <c r="H188" s="355"/>
      <c r="I188" s="355"/>
      <c r="J188" s="355"/>
      <c r="K188" s="355"/>
    </row>
    <row r="189" spans="1:11">
      <c r="A189" s="354"/>
      <c r="B189" s="248"/>
      <c r="C189" s="248"/>
      <c r="D189" s="248"/>
      <c r="F189" s="355"/>
      <c r="G189" s="355"/>
      <c r="H189" s="355"/>
      <c r="I189" s="355"/>
      <c r="J189" s="355"/>
      <c r="K189" s="355"/>
    </row>
    <row r="190" spans="1:11">
      <c r="A190" s="354"/>
      <c r="B190" s="248"/>
      <c r="C190" s="248"/>
      <c r="D190" s="248"/>
      <c r="F190" s="355"/>
      <c r="G190" s="355"/>
      <c r="H190" s="355"/>
      <c r="I190" s="355"/>
      <c r="J190" s="355"/>
      <c r="K190" s="355"/>
    </row>
    <row r="191" spans="1:11">
      <c r="A191" s="354"/>
      <c r="B191" s="248"/>
      <c r="C191" s="248"/>
      <c r="D191" s="248"/>
      <c r="F191" s="355"/>
      <c r="G191" s="355"/>
      <c r="H191" s="355"/>
      <c r="I191" s="355"/>
      <c r="J191" s="355"/>
      <c r="K191" s="355"/>
    </row>
    <row r="192" spans="1:11">
      <c r="A192" s="354"/>
      <c r="B192" s="248"/>
      <c r="C192" s="248"/>
      <c r="D192" s="248"/>
      <c r="F192" s="355"/>
      <c r="G192" s="355"/>
      <c r="H192" s="355"/>
      <c r="I192" s="355"/>
      <c r="J192" s="355"/>
      <c r="K192" s="355"/>
    </row>
  </sheetData>
  <autoFilter ref="A11:L112"/>
  <mergeCells count="8">
    <mergeCell ref="A112:H112"/>
    <mergeCell ref="E114:F114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57"/>
  <sheetViews>
    <sheetView topLeftCell="A5" zoomScale="95" workbookViewId="0">
      <pane ySplit="7" topLeftCell="A307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01" t="s">
        <v>9</v>
      </c>
      <c r="B1" s="601"/>
      <c r="C1" s="601"/>
      <c r="E1" s="359"/>
      <c r="F1" s="38"/>
      <c r="G1" s="39"/>
      <c r="H1" s="39"/>
    </row>
    <row r="2" spans="1:10" s="37" customFormat="1" ht="18" customHeight="1">
      <c r="A2" s="601" t="s">
        <v>10</v>
      </c>
      <c r="B2" s="601"/>
      <c r="C2" s="601"/>
      <c r="D2" s="601"/>
      <c r="E2" s="601"/>
      <c r="F2" s="38"/>
      <c r="G2" s="39"/>
      <c r="H2" s="39"/>
    </row>
    <row r="3" spans="1:10" s="37" customFormat="1" ht="18" customHeight="1">
      <c r="A3" s="601" t="s">
        <v>11</v>
      </c>
      <c r="B3" s="601"/>
      <c r="C3" s="622" t="s">
        <v>513</v>
      </c>
      <c r="D3" s="622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23" t="s">
        <v>12</v>
      </c>
      <c r="B5" s="623"/>
      <c r="C5" s="623"/>
      <c r="D5" s="623"/>
      <c r="E5" s="623"/>
      <c r="F5" s="623"/>
      <c r="G5" s="623"/>
      <c r="H5" s="623"/>
      <c r="I5" s="623"/>
    </row>
    <row r="6" spans="1:10" ht="9" customHeight="1">
      <c r="A6" s="624"/>
      <c r="B6" s="624"/>
      <c r="C6" s="624"/>
      <c r="D6" s="624"/>
      <c r="E6" s="624"/>
      <c r="F6" s="624"/>
      <c r="G6" s="624"/>
      <c r="H6" s="624"/>
      <c r="I6" s="624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17" t="s">
        <v>1322</v>
      </c>
      <c r="B12" s="618"/>
      <c r="C12" s="618"/>
      <c r="D12" s="618"/>
      <c r="E12" s="618"/>
      <c r="F12" s="618"/>
      <c r="G12" s="618"/>
      <c r="H12" s="619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36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36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35" si="15">IF(B290&lt;&gt;"",D290*(E290+F290),0)</f>
        <v>35500000</v>
      </c>
      <c r="H290" s="345"/>
      <c r="I290" s="345">
        <f t="shared" ref="I290:I294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33" si="17">IF(B295&lt;&gt;"",D295*(E295+F295),0)</f>
        <v>10500000</v>
      </c>
      <c r="H295" s="345"/>
      <c r="I295" s="345">
        <f t="shared" ref="I295:I335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>
        <v>42648</v>
      </c>
      <c r="B305" s="255" t="s">
        <v>1384</v>
      </c>
      <c r="C305" s="255"/>
      <c r="D305" s="345">
        <v>500</v>
      </c>
      <c r="E305" s="345">
        <v>71000</v>
      </c>
      <c r="F305" s="378"/>
      <c r="G305" s="345">
        <f t="shared" si="17"/>
        <v>35500000</v>
      </c>
      <c r="H305" s="345"/>
      <c r="I305" s="345">
        <f t="shared" si="18"/>
        <v>388759533</v>
      </c>
      <c r="J305" s="345"/>
    </row>
    <row r="306" spans="1:10" ht="21" customHeight="1">
      <c r="A306" s="564"/>
      <c r="B306" s="255" t="s">
        <v>2208</v>
      </c>
      <c r="C306" s="255"/>
      <c r="D306" s="345">
        <v>2</v>
      </c>
      <c r="E306" s="345">
        <v>570000</v>
      </c>
      <c r="F306" s="378"/>
      <c r="G306" s="345">
        <f t="shared" si="17"/>
        <v>1140000</v>
      </c>
      <c r="H306" s="345"/>
      <c r="I306" s="345">
        <f t="shared" si="18"/>
        <v>389899533</v>
      </c>
      <c r="J306" s="345"/>
    </row>
    <row r="307" spans="1:10" ht="21" customHeight="1">
      <c r="A307" s="564">
        <v>42649</v>
      </c>
      <c r="B307" s="255" t="s">
        <v>1385</v>
      </c>
      <c r="C307" s="255"/>
      <c r="D307" s="345">
        <v>10</v>
      </c>
      <c r="E307" s="345">
        <v>1050000</v>
      </c>
      <c r="F307" s="378"/>
      <c r="G307" s="345">
        <f t="shared" si="17"/>
        <v>10500000</v>
      </c>
      <c r="H307" s="345"/>
      <c r="I307" s="345">
        <f t="shared" si="18"/>
        <v>400399533</v>
      </c>
      <c r="J307" s="345"/>
    </row>
    <row r="308" spans="1:10" ht="21" customHeight="1">
      <c r="A308" s="564">
        <v>42653</v>
      </c>
      <c r="B308" s="255" t="s">
        <v>1385</v>
      </c>
      <c r="C308" s="255"/>
      <c r="D308" s="345">
        <v>20</v>
      </c>
      <c r="E308" s="345">
        <v>1050000</v>
      </c>
      <c r="F308" s="378"/>
      <c r="G308" s="345">
        <f t="shared" si="17"/>
        <v>21000000</v>
      </c>
      <c r="H308" s="345"/>
      <c r="I308" s="345">
        <f t="shared" si="18"/>
        <v>421399533</v>
      </c>
      <c r="J308" s="345"/>
    </row>
    <row r="309" spans="1:10" ht="21" customHeight="1">
      <c r="A309" s="564">
        <v>42651</v>
      </c>
      <c r="B309" s="255" t="s">
        <v>17</v>
      </c>
      <c r="C309" s="255"/>
      <c r="D309" s="345"/>
      <c r="E309" s="345"/>
      <c r="F309" s="378"/>
      <c r="G309" s="345">
        <v>0</v>
      </c>
      <c r="H309" s="345">
        <v>200000000</v>
      </c>
      <c r="I309" s="345">
        <f t="shared" si="18"/>
        <v>221399533</v>
      </c>
      <c r="J309" s="345"/>
    </row>
    <row r="310" spans="1:10" ht="21" customHeight="1">
      <c r="A310" s="564">
        <v>42658</v>
      </c>
      <c r="B310" s="255" t="s">
        <v>1384</v>
      </c>
      <c r="C310" s="255"/>
      <c r="D310" s="345">
        <v>100</v>
      </c>
      <c r="E310" s="345">
        <v>71000</v>
      </c>
      <c r="F310" s="378"/>
      <c r="G310" s="345">
        <f t="shared" si="17"/>
        <v>7100000</v>
      </c>
      <c r="H310" s="345"/>
      <c r="I310" s="345">
        <f t="shared" si="18"/>
        <v>228499533</v>
      </c>
      <c r="J310" s="345"/>
    </row>
    <row r="311" spans="1:10" ht="21" customHeight="1">
      <c r="A311" s="564"/>
      <c r="B311" s="255" t="s">
        <v>1370</v>
      </c>
      <c r="C311" s="255"/>
      <c r="D311" s="345">
        <v>500</v>
      </c>
      <c r="E311" s="345">
        <v>18000</v>
      </c>
      <c r="F311" s="378"/>
      <c r="G311" s="345">
        <f t="shared" ref="G311:G315" si="19">IF(B311&lt;&gt;"",D311*(E311+F311),0)</f>
        <v>9000000</v>
      </c>
      <c r="H311" s="345"/>
      <c r="I311" s="345">
        <f t="shared" si="18"/>
        <v>237499533</v>
      </c>
      <c r="J311" s="345"/>
    </row>
    <row r="312" spans="1:10" ht="21" customHeight="1">
      <c r="A312" s="564">
        <v>42679</v>
      </c>
      <c r="B312" s="255" t="s">
        <v>1384</v>
      </c>
      <c r="C312" s="255"/>
      <c r="D312" s="345">
        <v>300</v>
      </c>
      <c r="E312" s="345">
        <v>71000</v>
      </c>
      <c r="F312" s="378"/>
      <c r="G312" s="345">
        <f t="shared" si="19"/>
        <v>21300000</v>
      </c>
      <c r="H312" s="345"/>
      <c r="I312" s="345">
        <f t="shared" si="18"/>
        <v>258799533</v>
      </c>
      <c r="J312" s="345"/>
    </row>
    <row r="313" spans="1:10" ht="21" customHeight="1">
      <c r="A313" s="564"/>
      <c r="B313" s="255" t="s">
        <v>1370</v>
      </c>
      <c r="C313" s="255"/>
      <c r="D313" s="345">
        <v>500</v>
      </c>
      <c r="E313" s="345">
        <v>18000</v>
      </c>
      <c r="F313" s="378"/>
      <c r="G313" s="345">
        <f t="shared" si="19"/>
        <v>9000000</v>
      </c>
      <c r="H313" s="345"/>
      <c r="I313" s="345">
        <f t="shared" si="18"/>
        <v>267799533</v>
      </c>
      <c r="J313" s="345"/>
    </row>
    <row r="314" spans="1:10" ht="21" customHeight="1">
      <c r="A314" s="564">
        <v>42689</v>
      </c>
      <c r="B314" s="255" t="s">
        <v>1384</v>
      </c>
      <c r="C314" s="255"/>
      <c r="D314" s="345">
        <v>500</v>
      </c>
      <c r="E314" s="345">
        <v>71000</v>
      </c>
      <c r="F314" s="378"/>
      <c r="G314" s="345">
        <f t="shared" si="19"/>
        <v>35500000</v>
      </c>
      <c r="H314" s="345"/>
      <c r="I314" s="345">
        <f t="shared" si="18"/>
        <v>303299533</v>
      </c>
      <c r="J314" s="345"/>
    </row>
    <row r="315" spans="1:10" ht="21" customHeight="1">
      <c r="A315" s="564"/>
      <c r="B315" s="255" t="s">
        <v>1385</v>
      </c>
      <c r="C315" s="255"/>
      <c r="D315" s="345">
        <v>10</v>
      </c>
      <c r="E315" s="345">
        <v>1050000</v>
      </c>
      <c r="F315" s="378"/>
      <c r="G315" s="345">
        <f t="shared" si="19"/>
        <v>10500000</v>
      </c>
      <c r="H315" s="345"/>
      <c r="I315" s="345">
        <f t="shared" si="18"/>
        <v>313799533</v>
      </c>
      <c r="J315" s="345"/>
    </row>
    <row r="316" spans="1:10" ht="21" customHeight="1">
      <c r="A316" s="466"/>
      <c r="B316" s="255" t="s">
        <v>1387</v>
      </c>
      <c r="C316" s="255"/>
      <c r="D316" s="345">
        <v>20</v>
      </c>
      <c r="E316" s="345">
        <v>50000</v>
      </c>
      <c r="F316" s="378"/>
      <c r="G316" s="345">
        <f t="shared" si="17"/>
        <v>1000000</v>
      </c>
      <c r="H316" s="345"/>
      <c r="I316" s="345">
        <f t="shared" si="18"/>
        <v>314799533</v>
      </c>
      <c r="J316" s="345"/>
    </row>
    <row r="317" spans="1:10" ht="21" customHeight="1">
      <c r="A317" s="466">
        <v>42699</v>
      </c>
      <c r="B317" s="255" t="s">
        <v>1384</v>
      </c>
      <c r="C317" s="255"/>
      <c r="D317" s="345">
        <v>500</v>
      </c>
      <c r="E317" s="345">
        <v>71000</v>
      </c>
      <c r="F317" s="378"/>
      <c r="G317" s="345">
        <f t="shared" si="17"/>
        <v>35500000</v>
      </c>
      <c r="H317" s="345"/>
      <c r="I317" s="345">
        <f t="shared" si="18"/>
        <v>350299533</v>
      </c>
      <c r="J317" s="345"/>
    </row>
    <row r="318" spans="1:10" ht="21" customHeight="1">
      <c r="A318" s="564"/>
      <c r="B318" s="255" t="s">
        <v>1370</v>
      </c>
      <c r="C318" s="255"/>
      <c r="D318" s="345">
        <v>500</v>
      </c>
      <c r="E318" s="345">
        <v>18000</v>
      </c>
      <c r="F318" s="378"/>
      <c r="G318" s="345">
        <f t="shared" ref="G318:G323" si="20">IF(B318&lt;&gt;"",D318*(E318+F318),0)</f>
        <v>9000000</v>
      </c>
      <c r="H318" s="345"/>
      <c r="I318" s="345">
        <f t="shared" si="18"/>
        <v>359299533</v>
      </c>
      <c r="J318" s="345"/>
    </row>
    <row r="319" spans="1:10" ht="21" customHeight="1">
      <c r="A319" s="564"/>
      <c r="B319" s="255"/>
      <c r="C319" s="255"/>
      <c r="D319" s="345"/>
      <c r="E319" s="345"/>
      <c r="F319" s="378"/>
      <c r="G319" s="345">
        <f t="shared" si="20"/>
        <v>0</v>
      </c>
      <c r="H319" s="345"/>
      <c r="I319" s="345">
        <f t="shared" si="18"/>
        <v>0</v>
      </c>
      <c r="J319" s="345"/>
    </row>
    <row r="320" spans="1:10" ht="21" customHeight="1">
      <c r="A320" s="564"/>
      <c r="B320" s="255"/>
      <c r="C320" s="255"/>
      <c r="D320" s="345"/>
      <c r="E320" s="345"/>
      <c r="F320" s="378"/>
      <c r="G320" s="345">
        <f t="shared" si="20"/>
        <v>0</v>
      </c>
      <c r="H320" s="345"/>
      <c r="I320" s="345">
        <f t="shared" si="18"/>
        <v>0</v>
      </c>
      <c r="J320" s="345"/>
    </row>
    <row r="321" spans="1:10" ht="21" customHeight="1">
      <c r="A321" s="564"/>
      <c r="B321" s="255"/>
      <c r="C321" s="255"/>
      <c r="D321" s="345"/>
      <c r="E321" s="345"/>
      <c r="F321" s="378"/>
      <c r="G321" s="345">
        <f t="shared" si="20"/>
        <v>0</v>
      </c>
      <c r="H321" s="345"/>
      <c r="I321" s="345">
        <f t="shared" si="18"/>
        <v>0</v>
      </c>
      <c r="J321" s="345"/>
    </row>
    <row r="322" spans="1:10" ht="21" customHeight="1">
      <c r="A322" s="564"/>
      <c r="B322" s="255"/>
      <c r="C322" s="255"/>
      <c r="D322" s="345"/>
      <c r="E322" s="345"/>
      <c r="F322" s="378"/>
      <c r="G322" s="345">
        <f t="shared" si="20"/>
        <v>0</v>
      </c>
      <c r="H322" s="345"/>
      <c r="I322" s="345">
        <f t="shared" si="18"/>
        <v>0</v>
      </c>
      <c r="J322" s="345"/>
    </row>
    <row r="323" spans="1:10" ht="21" customHeight="1">
      <c r="A323" s="564"/>
      <c r="B323" s="255"/>
      <c r="C323" s="255"/>
      <c r="D323" s="345"/>
      <c r="E323" s="345"/>
      <c r="F323" s="378"/>
      <c r="G323" s="345">
        <f t="shared" si="20"/>
        <v>0</v>
      </c>
      <c r="H323" s="345"/>
      <c r="I323" s="345">
        <f t="shared" si="18"/>
        <v>0</v>
      </c>
      <c r="J323" s="345"/>
    </row>
    <row r="324" spans="1:10" ht="21" customHeight="1">
      <c r="A324" s="564"/>
      <c r="B324" s="255"/>
      <c r="C324" s="255"/>
      <c r="D324" s="345"/>
      <c r="E324" s="345"/>
      <c r="F324" s="378"/>
      <c r="G324" s="345">
        <f t="shared" si="17"/>
        <v>0</v>
      </c>
      <c r="H324" s="345"/>
      <c r="I324" s="345">
        <f t="shared" si="18"/>
        <v>0</v>
      </c>
      <c r="J324" s="345"/>
    </row>
    <row r="325" spans="1:10" ht="21" customHeight="1">
      <c r="A325" s="564"/>
      <c r="B325" s="255"/>
      <c r="C325" s="255"/>
      <c r="D325" s="345"/>
      <c r="E325" s="345"/>
      <c r="F325" s="378"/>
      <c r="G325" s="345">
        <f t="shared" si="17"/>
        <v>0</v>
      </c>
      <c r="H325" s="345"/>
      <c r="I325" s="345">
        <f t="shared" si="18"/>
        <v>0</v>
      </c>
      <c r="J325" s="345"/>
    </row>
    <row r="326" spans="1:10" ht="21" customHeight="1">
      <c r="A326" s="564"/>
      <c r="B326" s="255"/>
      <c r="C326" s="255"/>
      <c r="D326" s="345"/>
      <c r="E326" s="345"/>
      <c r="F326" s="378"/>
      <c r="G326" s="345">
        <f t="shared" si="17"/>
        <v>0</v>
      </c>
      <c r="H326" s="345"/>
      <c r="I326" s="345">
        <f t="shared" si="18"/>
        <v>0</v>
      </c>
      <c r="J326" s="345"/>
    </row>
    <row r="327" spans="1:10" ht="21" customHeight="1">
      <c r="A327" s="564"/>
      <c r="B327" s="255"/>
      <c r="C327" s="255"/>
      <c r="D327" s="345"/>
      <c r="E327" s="345"/>
      <c r="F327" s="378"/>
      <c r="G327" s="345">
        <f t="shared" ref="G327:G329" si="21">IF(B327&lt;&gt;"",D327*(E327+F327),0)</f>
        <v>0</v>
      </c>
      <c r="H327" s="345"/>
      <c r="I327" s="345">
        <f t="shared" si="18"/>
        <v>0</v>
      </c>
      <c r="J327" s="345"/>
    </row>
    <row r="328" spans="1:10" ht="21" customHeight="1">
      <c r="A328" s="564"/>
      <c r="B328" s="255"/>
      <c r="C328" s="255"/>
      <c r="D328" s="345"/>
      <c r="E328" s="345"/>
      <c r="F328" s="378"/>
      <c r="G328" s="345">
        <f t="shared" si="21"/>
        <v>0</v>
      </c>
      <c r="H328" s="345"/>
      <c r="I328" s="345">
        <f t="shared" si="18"/>
        <v>0</v>
      </c>
      <c r="J328" s="345"/>
    </row>
    <row r="329" spans="1:10" ht="21" customHeight="1">
      <c r="A329" s="564"/>
      <c r="B329" s="255"/>
      <c r="C329" s="255"/>
      <c r="D329" s="345"/>
      <c r="E329" s="345"/>
      <c r="F329" s="378"/>
      <c r="G329" s="345">
        <f t="shared" si="21"/>
        <v>0</v>
      </c>
      <c r="H329" s="345"/>
      <c r="I329" s="345">
        <f t="shared" si="18"/>
        <v>0</v>
      </c>
      <c r="J329" s="345"/>
    </row>
    <row r="330" spans="1:10" ht="21" customHeight="1">
      <c r="A330" s="564"/>
      <c r="B330" s="255"/>
      <c r="C330" s="255"/>
      <c r="D330" s="345"/>
      <c r="E330" s="345"/>
      <c r="F330" s="378"/>
      <c r="G330" s="345">
        <f t="shared" ref="G330:G332" si="22">IF(B330&lt;&gt;"",D330*(E330+F330),0)</f>
        <v>0</v>
      </c>
      <c r="H330" s="345"/>
      <c r="I330" s="345">
        <f t="shared" si="18"/>
        <v>0</v>
      </c>
      <c r="J330" s="345"/>
    </row>
    <row r="331" spans="1:10" ht="21" customHeight="1">
      <c r="A331" s="564"/>
      <c r="B331" s="255"/>
      <c r="C331" s="255"/>
      <c r="D331" s="345"/>
      <c r="E331" s="345"/>
      <c r="F331" s="378"/>
      <c r="G331" s="345">
        <f t="shared" si="22"/>
        <v>0</v>
      </c>
      <c r="H331" s="345"/>
      <c r="I331" s="345">
        <f t="shared" si="18"/>
        <v>0</v>
      </c>
      <c r="J331" s="345"/>
    </row>
    <row r="332" spans="1:10" ht="21" customHeight="1">
      <c r="A332" s="564"/>
      <c r="B332" s="255"/>
      <c r="C332" s="255"/>
      <c r="D332" s="345"/>
      <c r="E332" s="345"/>
      <c r="F332" s="378"/>
      <c r="G332" s="345">
        <f t="shared" si="22"/>
        <v>0</v>
      </c>
      <c r="H332" s="345"/>
      <c r="I332" s="345">
        <f t="shared" si="18"/>
        <v>0</v>
      </c>
      <c r="J332" s="345"/>
    </row>
    <row r="333" spans="1:10" ht="21" customHeight="1">
      <c r="A333" s="466"/>
      <c r="B333" s="255"/>
      <c r="C333" s="255"/>
      <c r="D333" s="345"/>
      <c r="E333" s="345"/>
      <c r="F333" s="378"/>
      <c r="G333" s="345">
        <f t="shared" si="17"/>
        <v>0</v>
      </c>
      <c r="H333" s="345"/>
      <c r="I333" s="345">
        <f t="shared" si="18"/>
        <v>0</v>
      </c>
      <c r="J333" s="345"/>
    </row>
    <row r="334" spans="1:10" ht="21" customHeight="1">
      <c r="A334" s="420"/>
      <c r="B334" s="255"/>
      <c r="C334" s="255"/>
      <c r="D334" s="345"/>
      <c r="E334" s="345"/>
      <c r="F334" s="378"/>
      <c r="G334" s="345">
        <f t="shared" si="15"/>
        <v>0</v>
      </c>
      <c r="H334" s="345"/>
      <c r="I334" s="345">
        <f t="shared" si="18"/>
        <v>0</v>
      </c>
      <c r="J334" s="345"/>
    </row>
    <row r="335" spans="1:10" ht="21" customHeight="1">
      <c r="A335" s="420"/>
      <c r="B335" s="255"/>
      <c r="C335" s="255"/>
      <c r="D335" s="345"/>
      <c r="E335" s="345"/>
      <c r="F335" s="378"/>
      <c r="G335" s="345">
        <f t="shared" si="15"/>
        <v>0</v>
      </c>
      <c r="H335" s="345"/>
      <c r="I335" s="345">
        <f t="shared" si="18"/>
        <v>0</v>
      </c>
      <c r="J335" s="345"/>
    </row>
    <row r="336" spans="1:10" ht="21" customHeight="1">
      <c r="A336" s="254"/>
      <c r="B336" s="255"/>
      <c r="C336" s="255"/>
      <c r="D336" s="345"/>
      <c r="E336" s="345"/>
      <c r="F336" s="378"/>
      <c r="G336" s="345">
        <f t="shared" si="9"/>
        <v>0</v>
      </c>
      <c r="H336" s="345"/>
      <c r="I336" s="345">
        <f t="shared" si="8"/>
        <v>0</v>
      </c>
      <c r="J336" s="345"/>
    </row>
    <row r="337" spans="1:10" s="260" customFormat="1" ht="21" customHeight="1">
      <c r="A337" s="620" t="s">
        <v>3</v>
      </c>
      <c r="B337" s="620"/>
      <c r="C337" s="620"/>
      <c r="D337" s="620"/>
      <c r="E337" s="620"/>
      <c r="F337" s="620"/>
      <c r="G337" s="380">
        <f>SUM(G13:G336)</f>
        <v>3531309533</v>
      </c>
      <c r="H337" s="380">
        <f>SUM(H13:H336)</f>
        <v>3261710000</v>
      </c>
      <c r="I337" s="352">
        <f>I12+G337-H337</f>
        <v>359299533</v>
      </c>
      <c r="J337" s="352"/>
    </row>
    <row r="338" spans="1:10" ht="21" customHeight="1"/>
    <row r="339" spans="1:10" ht="21" customHeight="1">
      <c r="B339" s="261" t="s">
        <v>517</v>
      </c>
      <c r="E339" s="621">
        <f>I337</f>
        <v>359299533</v>
      </c>
      <c r="F339" s="621"/>
      <c r="G339" s="356" t="s">
        <v>20</v>
      </c>
    </row>
    <row r="340" spans="1:10" ht="21" customHeight="1">
      <c r="B340" s="261" t="s">
        <v>518</v>
      </c>
      <c r="C340" s="262" t="e">
        <f ca="1">[3]!VND(E339, TRUE)</f>
        <v>#NAME?</v>
      </c>
    </row>
    <row r="341" spans="1:10" ht="21" customHeight="1"/>
    <row r="342" spans="1:10" ht="14.25" customHeight="1">
      <c r="H342" s="355" t="s">
        <v>21</v>
      </c>
    </row>
    <row r="343" spans="1:10" ht="21" customHeight="1">
      <c r="A343" s="333" t="s">
        <v>22</v>
      </c>
      <c r="G343" s="333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97"/>
  <sheetViews>
    <sheetView topLeftCell="A5" zoomScale="95" workbookViewId="0">
      <pane ySplit="7" topLeftCell="A39" activePane="bottomLeft" state="frozen"/>
      <selection activeCell="G72" sqref="G72"/>
      <selection pane="bottomLeft" activeCell="G43" sqref="G43:G55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630" t="s">
        <v>9</v>
      </c>
      <c r="B1" s="630"/>
      <c r="C1" s="630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631" t="s">
        <v>11</v>
      </c>
      <c r="B3" s="631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632" t="s">
        <v>12</v>
      </c>
      <c r="B5" s="632"/>
      <c r="C5" s="632"/>
      <c r="D5" s="632"/>
      <c r="E5" s="632"/>
      <c r="F5" s="632"/>
      <c r="G5" s="632"/>
      <c r="H5" s="632"/>
    </row>
    <row r="6" spans="1:10" ht="9" customHeight="1">
      <c r="A6" s="633"/>
      <c r="B6" s="633"/>
      <c r="C6" s="633"/>
      <c r="D6" s="633"/>
      <c r="E6" s="633"/>
      <c r="F6" s="633"/>
      <c r="G6" s="633"/>
      <c r="H6" s="633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629"/>
      <c r="B19" s="629"/>
      <c r="C19" s="629"/>
      <c r="D19" s="629"/>
      <c r="E19" s="629"/>
      <c r="F19" s="629"/>
      <c r="G19" s="629"/>
      <c r="H19" s="629"/>
      <c r="I19" s="629"/>
      <c r="J19" s="629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6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6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629"/>
      <c r="B35" s="629"/>
      <c r="C35" s="629"/>
      <c r="D35" s="629"/>
      <c r="E35" s="629"/>
      <c r="F35" s="629"/>
      <c r="G35" s="629"/>
      <c r="H35" s="629"/>
      <c r="I35" s="629"/>
      <c r="J35" s="629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56" si="4">IF(B39&lt;&gt;"",ROUND(D39*(E39+F39),-3),0)</f>
        <v>30800000</v>
      </c>
      <c r="H39" s="345"/>
      <c r="I39" s="345">
        <f t="shared" ref="I39:I56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543">
        <v>42600</v>
      </c>
      <c r="B41" s="256" t="s">
        <v>1401</v>
      </c>
      <c r="C41" s="255"/>
      <c r="D41" s="345"/>
      <c r="E41" s="345"/>
      <c r="F41" s="377"/>
      <c r="G41" s="345">
        <f t="shared" ref="G41" si="6">IF(B41&lt;&gt;"",ROUND(D41*(E41+F41),-3),0)</f>
        <v>0</v>
      </c>
      <c r="H41" s="385">
        <v>50100000</v>
      </c>
      <c r="I41" s="345">
        <f t="shared" si="5"/>
        <v>0</v>
      </c>
      <c r="J41" s="345"/>
    </row>
    <row r="42" spans="1:10" ht="18.75" customHeight="1">
      <c r="A42" s="254">
        <v>42634</v>
      </c>
      <c r="B42" s="255" t="s">
        <v>1397</v>
      </c>
      <c r="C42" s="255" t="s">
        <v>1398</v>
      </c>
      <c r="D42" s="345">
        <v>2400</v>
      </c>
      <c r="E42" s="345">
        <v>14000</v>
      </c>
      <c r="F42" s="377">
        <f>E42*10%</f>
        <v>1400</v>
      </c>
      <c r="G42" s="345">
        <f t="shared" si="4"/>
        <v>36960000</v>
      </c>
      <c r="H42" s="345"/>
      <c r="I42" s="345">
        <f t="shared" si="5"/>
        <v>36960000</v>
      </c>
      <c r="J42" s="345"/>
    </row>
    <row r="43" spans="1:10" ht="18.75" customHeight="1">
      <c r="A43" s="254">
        <v>42584</v>
      </c>
      <c r="B43" s="255" t="s">
        <v>2176</v>
      </c>
      <c r="C43" s="255" t="s">
        <v>1398</v>
      </c>
      <c r="D43" s="345">
        <v>2300</v>
      </c>
      <c r="E43" s="345">
        <v>550</v>
      </c>
      <c r="F43" s="377"/>
      <c r="G43" s="345">
        <f t="shared" si="4"/>
        <v>1265000</v>
      </c>
      <c r="H43" s="345"/>
      <c r="I43" s="345">
        <f t="shared" si="5"/>
        <v>38225000</v>
      </c>
      <c r="J43" s="345"/>
    </row>
    <row r="44" spans="1:10" ht="18.75" customHeight="1">
      <c r="A44" s="544">
        <v>42584</v>
      </c>
      <c r="B44" s="255" t="s">
        <v>2177</v>
      </c>
      <c r="C44" s="255" t="s">
        <v>1398</v>
      </c>
      <c r="D44" s="345">
        <v>1300</v>
      </c>
      <c r="E44" s="345">
        <v>650</v>
      </c>
      <c r="F44" s="377"/>
      <c r="G44" s="345">
        <f t="shared" si="4"/>
        <v>845000</v>
      </c>
      <c r="H44" s="345"/>
      <c r="I44" s="345">
        <f t="shared" si="5"/>
        <v>39070000</v>
      </c>
      <c r="J44" s="345"/>
    </row>
    <row r="45" spans="1:10" ht="18.75" customHeight="1">
      <c r="A45" s="544">
        <v>42584</v>
      </c>
      <c r="B45" s="255" t="s">
        <v>2178</v>
      </c>
      <c r="C45" s="255" t="s">
        <v>1398</v>
      </c>
      <c r="D45" s="345">
        <v>650</v>
      </c>
      <c r="E45" s="345">
        <v>650</v>
      </c>
      <c r="F45" s="377"/>
      <c r="G45" s="345">
        <f t="shared" ref="G45:G54" si="7">IF(B45&lt;&gt;"",ROUND(D45*(E45+F45),-3),0)</f>
        <v>423000</v>
      </c>
      <c r="H45" s="345"/>
      <c r="I45" s="345">
        <f t="shared" ref="I45:I54" si="8">IF(B45&lt;&gt;"",I44+G45-H45,0)</f>
        <v>39493000</v>
      </c>
      <c r="J45" s="345"/>
    </row>
    <row r="46" spans="1:10" ht="18.75" customHeight="1">
      <c r="A46" s="544">
        <v>42584</v>
      </c>
      <c r="B46" s="255" t="s">
        <v>2179</v>
      </c>
      <c r="C46" s="255" t="s">
        <v>1398</v>
      </c>
      <c r="D46" s="345">
        <v>3300</v>
      </c>
      <c r="E46" s="345">
        <v>650</v>
      </c>
      <c r="F46" s="377"/>
      <c r="G46" s="345">
        <f t="shared" si="7"/>
        <v>2145000</v>
      </c>
      <c r="H46" s="345"/>
      <c r="I46" s="345">
        <f t="shared" si="8"/>
        <v>41638000</v>
      </c>
      <c r="J46" s="345"/>
    </row>
    <row r="47" spans="1:10" ht="18.75" customHeight="1">
      <c r="A47" s="544">
        <v>42584</v>
      </c>
      <c r="B47" s="255" t="s">
        <v>2180</v>
      </c>
      <c r="C47" s="255" t="s">
        <v>1398</v>
      </c>
      <c r="D47" s="345">
        <v>1700</v>
      </c>
      <c r="E47" s="345">
        <v>650</v>
      </c>
      <c r="F47" s="377"/>
      <c r="G47" s="345">
        <f t="shared" si="7"/>
        <v>1105000</v>
      </c>
      <c r="H47" s="345"/>
      <c r="I47" s="345">
        <f t="shared" si="8"/>
        <v>42743000</v>
      </c>
      <c r="J47" s="345"/>
    </row>
    <row r="48" spans="1:10" ht="18.75" customHeight="1">
      <c r="A48" s="544">
        <v>42606</v>
      </c>
      <c r="B48" s="255" t="s">
        <v>2181</v>
      </c>
      <c r="C48" s="255" t="s">
        <v>1398</v>
      </c>
      <c r="D48" s="345">
        <v>4180</v>
      </c>
      <c r="E48" s="345">
        <v>550</v>
      </c>
      <c r="F48" s="377"/>
      <c r="G48" s="345">
        <f t="shared" si="7"/>
        <v>2299000</v>
      </c>
      <c r="H48" s="345"/>
      <c r="I48" s="345">
        <f t="shared" si="8"/>
        <v>45042000</v>
      </c>
      <c r="J48" s="345"/>
    </row>
    <row r="49" spans="1:10" ht="18.75" customHeight="1">
      <c r="A49" s="544">
        <v>42606</v>
      </c>
      <c r="B49" s="255" t="s">
        <v>2182</v>
      </c>
      <c r="C49" s="255" t="s">
        <v>1398</v>
      </c>
      <c r="D49" s="345">
        <v>5450</v>
      </c>
      <c r="E49" s="345">
        <v>550</v>
      </c>
      <c r="F49" s="377"/>
      <c r="G49" s="345">
        <f t="shared" si="7"/>
        <v>2998000</v>
      </c>
      <c r="H49" s="345"/>
      <c r="I49" s="345">
        <f t="shared" si="8"/>
        <v>48040000</v>
      </c>
      <c r="J49" s="345"/>
    </row>
    <row r="50" spans="1:10" ht="18.75" customHeight="1">
      <c r="A50" s="544">
        <v>42627</v>
      </c>
      <c r="B50" s="255" t="s">
        <v>2181</v>
      </c>
      <c r="C50" s="255" t="s">
        <v>1398</v>
      </c>
      <c r="D50" s="345">
        <v>4150</v>
      </c>
      <c r="E50" s="345">
        <v>550</v>
      </c>
      <c r="F50" s="377"/>
      <c r="G50" s="345">
        <f t="shared" si="7"/>
        <v>2283000</v>
      </c>
      <c r="H50" s="345"/>
      <c r="I50" s="345">
        <f t="shared" si="8"/>
        <v>50323000</v>
      </c>
      <c r="J50" s="345"/>
    </row>
    <row r="51" spans="1:10" ht="18.75" customHeight="1">
      <c r="A51" s="544">
        <v>42627</v>
      </c>
      <c r="B51" s="255" t="s">
        <v>2182</v>
      </c>
      <c r="C51" s="255" t="s">
        <v>1398</v>
      </c>
      <c r="D51" s="345">
        <v>4150</v>
      </c>
      <c r="E51" s="345">
        <v>550</v>
      </c>
      <c r="F51" s="377"/>
      <c r="G51" s="345">
        <f t="shared" si="7"/>
        <v>2283000</v>
      </c>
      <c r="H51" s="345"/>
      <c r="I51" s="345">
        <f t="shared" si="8"/>
        <v>52606000</v>
      </c>
      <c r="J51" s="345"/>
    </row>
    <row r="52" spans="1:10" ht="18.75" customHeight="1">
      <c r="A52" s="544">
        <v>42641</v>
      </c>
      <c r="B52" s="255" t="s">
        <v>2183</v>
      </c>
      <c r="C52" s="255" t="s">
        <v>1398</v>
      </c>
      <c r="D52" s="345">
        <v>6360</v>
      </c>
      <c r="E52" s="345">
        <v>450</v>
      </c>
      <c r="F52" s="377"/>
      <c r="G52" s="345">
        <f t="shared" si="7"/>
        <v>2862000</v>
      </c>
      <c r="H52" s="345"/>
      <c r="I52" s="345">
        <f t="shared" si="8"/>
        <v>55468000</v>
      </c>
      <c r="J52" s="345"/>
    </row>
    <row r="53" spans="1:10" ht="18.75" customHeight="1">
      <c r="A53" s="544">
        <v>42641</v>
      </c>
      <c r="B53" s="255" t="s">
        <v>2184</v>
      </c>
      <c r="C53" s="255" t="s">
        <v>1398</v>
      </c>
      <c r="D53" s="345">
        <v>2120</v>
      </c>
      <c r="E53" s="345">
        <v>450</v>
      </c>
      <c r="F53" s="377"/>
      <c r="G53" s="345">
        <f t="shared" si="7"/>
        <v>954000</v>
      </c>
      <c r="H53" s="345"/>
      <c r="I53" s="345">
        <f t="shared" si="8"/>
        <v>56422000</v>
      </c>
      <c r="J53" s="345"/>
    </row>
    <row r="54" spans="1:10" ht="18.75" customHeight="1">
      <c r="A54" s="544">
        <v>42644</v>
      </c>
      <c r="B54" s="255" t="s">
        <v>2183</v>
      </c>
      <c r="C54" s="255" t="s">
        <v>1398</v>
      </c>
      <c r="D54" s="345">
        <v>3200</v>
      </c>
      <c r="E54" s="345">
        <v>450</v>
      </c>
      <c r="F54" s="377"/>
      <c r="G54" s="345">
        <f t="shared" si="7"/>
        <v>1440000</v>
      </c>
      <c r="H54" s="345"/>
      <c r="I54" s="345">
        <f t="shared" si="8"/>
        <v>57862000</v>
      </c>
      <c r="J54" s="345"/>
    </row>
    <row r="55" spans="1:10" ht="18.75" customHeight="1">
      <c r="A55" s="544">
        <v>42644</v>
      </c>
      <c r="B55" s="255" t="s">
        <v>2184</v>
      </c>
      <c r="C55" s="255" t="s">
        <v>1398</v>
      </c>
      <c r="D55" s="345">
        <v>800</v>
      </c>
      <c r="E55" s="345">
        <v>450</v>
      </c>
      <c r="F55" s="377"/>
      <c r="G55" s="345">
        <f t="shared" si="4"/>
        <v>360000</v>
      </c>
      <c r="H55" s="345"/>
      <c r="I55" s="345">
        <f t="shared" si="5"/>
        <v>58222000</v>
      </c>
      <c r="J55" s="345"/>
    </row>
    <row r="56" spans="1:10" ht="18.75" customHeight="1">
      <c r="A56" s="254"/>
      <c r="B56" s="255"/>
      <c r="C56" s="255"/>
      <c r="D56" s="345"/>
      <c r="E56" s="345"/>
      <c r="F56" s="377"/>
      <c r="G56" s="345">
        <f t="shared" si="4"/>
        <v>0</v>
      </c>
      <c r="H56" s="345"/>
      <c r="I56" s="345">
        <f t="shared" si="5"/>
        <v>0</v>
      </c>
      <c r="J56" s="345"/>
    </row>
    <row r="57" spans="1:10" ht="18.75" customHeight="1">
      <c r="A57" s="544"/>
      <c r="B57" s="255"/>
      <c r="C57" s="255"/>
      <c r="D57" s="345"/>
      <c r="E57" s="345"/>
      <c r="F57" s="377"/>
      <c r="G57" s="345">
        <f t="shared" ref="G57:G67" si="9">IF(B57&lt;&gt;"",ROUND(D57*(E57+F57),-3),0)</f>
        <v>0</v>
      </c>
      <c r="H57" s="345"/>
      <c r="I57" s="345">
        <f t="shared" ref="I57:I67" si="10">IF(B57&lt;&gt;"",I56+G57-H57,0)</f>
        <v>0</v>
      </c>
      <c r="J57" s="345"/>
    </row>
    <row r="58" spans="1:10" ht="18.75" customHeight="1">
      <c r="A58" s="544"/>
      <c r="B58" s="255"/>
      <c r="C58" s="255"/>
      <c r="D58" s="345"/>
      <c r="E58" s="345"/>
      <c r="F58" s="377"/>
      <c r="G58" s="345">
        <f t="shared" si="9"/>
        <v>0</v>
      </c>
      <c r="H58" s="345"/>
      <c r="I58" s="345">
        <f t="shared" si="10"/>
        <v>0</v>
      </c>
      <c r="J58" s="345"/>
    </row>
    <row r="59" spans="1:10" ht="18.75" customHeight="1">
      <c r="A59" s="544"/>
      <c r="B59" s="255"/>
      <c r="C59" s="255"/>
      <c r="D59" s="345"/>
      <c r="E59" s="345"/>
      <c r="F59" s="377"/>
      <c r="G59" s="345">
        <f t="shared" si="9"/>
        <v>0</v>
      </c>
      <c r="H59" s="345"/>
      <c r="I59" s="345">
        <f t="shared" si="10"/>
        <v>0</v>
      </c>
      <c r="J59" s="345"/>
    </row>
    <row r="60" spans="1:10" ht="18.75" customHeight="1">
      <c r="A60" s="544"/>
      <c r="B60" s="255"/>
      <c r="C60" s="255"/>
      <c r="D60" s="345"/>
      <c r="E60" s="345"/>
      <c r="F60" s="377"/>
      <c r="G60" s="345">
        <f t="shared" si="9"/>
        <v>0</v>
      </c>
      <c r="H60" s="345"/>
      <c r="I60" s="345">
        <f t="shared" si="10"/>
        <v>0</v>
      </c>
      <c r="J60" s="345"/>
    </row>
    <row r="61" spans="1:10" ht="18.75" customHeight="1">
      <c r="A61" s="544"/>
      <c r="B61" s="255"/>
      <c r="C61" s="255"/>
      <c r="D61" s="345"/>
      <c r="E61" s="345"/>
      <c r="F61" s="377"/>
      <c r="G61" s="345">
        <f t="shared" si="9"/>
        <v>0</v>
      </c>
      <c r="H61" s="345"/>
      <c r="I61" s="345">
        <f t="shared" si="10"/>
        <v>0</v>
      </c>
      <c r="J61" s="345"/>
    </row>
    <row r="62" spans="1:10" ht="18.75" customHeight="1">
      <c r="A62" s="544"/>
      <c r="B62" s="255"/>
      <c r="C62" s="255"/>
      <c r="D62" s="345"/>
      <c r="E62" s="345"/>
      <c r="F62" s="377"/>
      <c r="G62" s="345">
        <f t="shared" si="9"/>
        <v>0</v>
      </c>
      <c r="H62" s="345"/>
      <c r="I62" s="345">
        <f t="shared" si="10"/>
        <v>0</v>
      </c>
      <c r="J62" s="345"/>
    </row>
    <row r="63" spans="1:10" ht="18.75" customHeight="1">
      <c r="A63" s="544"/>
      <c r="B63" s="255"/>
      <c r="C63" s="255"/>
      <c r="D63" s="345"/>
      <c r="E63" s="345"/>
      <c r="F63" s="377"/>
      <c r="G63" s="345">
        <f t="shared" si="9"/>
        <v>0</v>
      </c>
      <c r="H63" s="345"/>
      <c r="I63" s="345">
        <f t="shared" si="10"/>
        <v>0</v>
      </c>
      <c r="J63" s="345"/>
    </row>
    <row r="64" spans="1:10" ht="18.75" customHeight="1">
      <c r="A64" s="544"/>
      <c r="B64" s="255"/>
      <c r="C64" s="255"/>
      <c r="D64" s="345"/>
      <c r="E64" s="345"/>
      <c r="F64" s="377"/>
      <c r="G64" s="345">
        <f t="shared" si="9"/>
        <v>0</v>
      </c>
      <c r="H64" s="345"/>
      <c r="I64" s="345">
        <f t="shared" si="10"/>
        <v>0</v>
      </c>
      <c r="J64" s="345"/>
    </row>
    <row r="65" spans="1:10" ht="18.75" customHeight="1">
      <c r="A65" s="544"/>
      <c r="B65" s="255"/>
      <c r="C65" s="255"/>
      <c r="D65" s="345"/>
      <c r="E65" s="345"/>
      <c r="F65" s="377"/>
      <c r="G65" s="345">
        <f t="shared" si="9"/>
        <v>0</v>
      </c>
      <c r="H65" s="345"/>
      <c r="I65" s="345">
        <f t="shared" si="10"/>
        <v>0</v>
      </c>
      <c r="J65" s="345"/>
    </row>
    <row r="66" spans="1:10" ht="18.75" customHeight="1">
      <c r="A66" s="544"/>
      <c r="B66" s="255"/>
      <c r="C66" s="255"/>
      <c r="D66" s="345"/>
      <c r="E66" s="345"/>
      <c r="F66" s="377"/>
      <c r="G66" s="345">
        <f t="shared" si="9"/>
        <v>0</v>
      </c>
      <c r="H66" s="345"/>
      <c r="I66" s="345">
        <f t="shared" si="10"/>
        <v>0</v>
      </c>
      <c r="J66" s="345"/>
    </row>
    <row r="67" spans="1:10" ht="18.75" customHeight="1">
      <c r="A67" s="544"/>
      <c r="B67" s="255"/>
      <c r="C67" s="255"/>
      <c r="D67" s="345"/>
      <c r="E67" s="345"/>
      <c r="F67" s="377"/>
      <c r="G67" s="345">
        <f t="shared" si="9"/>
        <v>0</v>
      </c>
      <c r="H67" s="345"/>
      <c r="I67" s="345">
        <f t="shared" si="10"/>
        <v>0</v>
      </c>
      <c r="J67" s="345"/>
    </row>
    <row r="68" spans="1:10" ht="18.75" customHeight="1">
      <c r="A68" s="258"/>
      <c r="B68" s="259"/>
      <c r="C68" s="259"/>
      <c r="D68" s="350"/>
      <c r="E68" s="350"/>
      <c r="F68" s="412"/>
      <c r="G68" s="350">
        <f t="shared" si="2"/>
        <v>0</v>
      </c>
      <c r="H68" s="350"/>
      <c r="I68" s="350">
        <f t="shared" si="3"/>
        <v>0</v>
      </c>
      <c r="J68" s="350"/>
    </row>
    <row r="69" spans="1:10" s="408" customFormat="1" ht="21" customHeight="1">
      <c r="A69" s="620" t="s">
        <v>3</v>
      </c>
      <c r="B69" s="620"/>
      <c r="C69" s="620"/>
      <c r="D69" s="620"/>
      <c r="E69" s="620"/>
      <c r="F69" s="620"/>
      <c r="G69" s="380">
        <f>SUM(G12:G68)</f>
        <v>467651000</v>
      </c>
      <c r="H69" s="380">
        <f>SUM(H12:H68)</f>
        <v>409429000</v>
      </c>
      <c r="I69" s="352">
        <f>G69-H69</f>
        <v>58222000</v>
      </c>
      <c r="J69" s="352"/>
    </row>
    <row r="70" spans="1:10" ht="21" customHeight="1"/>
    <row r="71" spans="1:10" ht="21" customHeight="1">
      <c r="B71" s="409" t="s">
        <v>517</v>
      </c>
      <c r="E71" s="628">
        <f>I69</f>
        <v>58222000</v>
      </c>
      <c r="F71" s="628"/>
      <c r="G71" s="410" t="s">
        <v>20</v>
      </c>
    </row>
    <row r="72" spans="1:10" ht="21" customHeight="1">
      <c r="B72" s="409" t="s">
        <v>518</v>
      </c>
      <c r="C72" s="411" t="str">
        <f>[4]!VND(E71, TRUE)</f>
        <v>Năm mươi tám triệu, hai trăm hai mươi hai ngàn đồng</v>
      </c>
    </row>
    <row r="73" spans="1:10" ht="21" customHeight="1"/>
    <row r="74" spans="1:10" ht="21" customHeight="1">
      <c r="A74" s="401" t="s">
        <v>1409</v>
      </c>
      <c r="G74" s="401" t="s">
        <v>23</v>
      </c>
    </row>
    <row r="75" spans="1:10" ht="21" customHeight="1"/>
    <row r="76" spans="1:10" ht="18.75" customHeight="1">
      <c r="A76" s="404"/>
      <c r="B76" s="400"/>
      <c r="D76" s="406"/>
      <c r="E76" s="406"/>
      <c r="F76" s="405"/>
      <c r="G76" s="406"/>
      <c r="H76" s="406"/>
      <c r="I76" s="406"/>
    </row>
    <row r="77" spans="1:10" ht="18.75" customHeight="1">
      <c r="A77" s="404"/>
      <c r="B77" s="400"/>
      <c r="D77" s="406"/>
      <c r="E77" s="406"/>
      <c r="F77" s="405"/>
      <c r="G77" s="406"/>
      <c r="H77" s="406"/>
      <c r="I77" s="406"/>
    </row>
    <row r="78" spans="1:10" ht="18.75" customHeight="1">
      <c r="A78" s="404"/>
      <c r="B78" s="400"/>
      <c r="D78" s="406"/>
      <c r="E78" s="406"/>
      <c r="F78" s="405"/>
      <c r="G78" s="406"/>
      <c r="H78" s="406"/>
      <c r="I78" s="406"/>
    </row>
    <row r="79" spans="1:10" ht="18.75" customHeight="1">
      <c r="A79" s="404"/>
      <c r="B79" s="400"/>
      <c r="D79" s="406"/>
      <c r="E79" s="406"/>
      <c r="F79" s="405"/>
      <c r="G79" s="406"/>
      <c r="H79" s="406"/>
      <c r="I79" s="406"/>
    </row>
    <row r="80" spans="1:10" ht="18.75" customHeight="1">
      <c r="A80" s="404"/>
      <c r="B80" s="400"/>
      <c r="D80" s="406"/>
      <c r="E80" s="406"/>
      <c r="F80" s="405"/>
      <c r="G80" s="406"/>
      <c r="H80" s="406"/>
      <c r="I80" s="406"/>
    </row>
    <row r="81" spans="1:9" ht="18.75" customHeight="1">
      <c r="A81" s="404"/>
      <c r="B81" s="400"/>
      <c r="D81" s="406"/>
      <c r="E81" s="406"/>
      <c r="F81" s="405"/>
      <c r="G81" s="406"/>
      <c r="H81" s="406"/>
      <c r="I81" s="406"/>
    </row>
    <row r="82" spans="1:9" ht="18.75" customHeight="1">
      <c r="A82" s="404"/>
      <c r="B82" s="400"/>
      <c r="D82" s="406"/>
      <c r="E82" s="406"/>
      <c r="F82" s="405"/>
      <c r="G82" s="406"/>
      <c r="H82" s="406"/>
      <c r="I82" s="406"/>
    </row>
    <row r="83" spans="1:9" ht="18.75" customHeight="1">
      <c r="A83" s="404"/>
      <c r="B83" s="400"/>
      <c r="D83" s="406"/>
      <c r="E83" s="406"/>
      <c r="F83" s="405"/>
      <c r="G83" s="406"/>
      <c r="H83" s="406"/>
      <c r="I83" s="406"/>
    </row>
    <row r="84" spans="1:9" ht="18.75" customHeight="1">
      <c r="A84" s="404"/>
      <c r="B84" s="400"/>
      <c r="D84" s="406"/>
      <c r="E84" s="406"/>
      <c r="F84" s="405"/>
      <c r="G84" s="406"/>
      <c r="H84" s="406"/>
      <c r="I84" s="406"/>
    </row>
    <row r="85" spans="1:9" ht="18.75" customHeight="1">
      <c r="A85" s="404"/>
      <c r="B85" s="400"/>
      <c r="D85" s="406"/>
      <c r="E85" s="406"/>
      <c r="F85" s="405"/>
      <c r="G85" s="406"/>
      <c r="H85" s="406"/>
      <c r="I85" s="406"/>
    </row>
    <row r="86" spans="1:9" ht="18.75" customHeight="1">
      <c r="A86" s="404"/>
      <c r="B86" s="400"/>
      <c r="D86" s="406"/>
      <c r="E86" s="406"/>
      <c r="F86" s="405"/>
      <c r="G86" s="406"/>
      <c r="H86" s="406"/>
      <c r="I86" s="406"/>
    </row>
    <row r="87" spans="1:9" ht="18.75" customHeight="1">
      <c r="A87" s="404"/>
      <c r="B87" s="400"/>
      <c r="D87" s="406"/>
      <c r="E87" s="406"/>
      <c r="F87" s="405"/>
      <c r="G87" s="406"/>
      <c r="H87" s="406"/>
      <c r="I87" s="406"/>
    </row>
    <row r="88" spans="1:9" ht="18.75" customHeight="1">
      <c r="A88" s="404"/>
      <c r="B88" s="400"/>
      <c r="D88" s="406"/>
      <c r="E88" s="406"/>
      <c r="F88" s="405"/>
      <c r="G88" s="406"/>
      <c r="H88" s="406"/>
      <c r="I88" s="406"/>
    </row>
    <row r="89" spans="1:9" ht="18.75" customHeight="1">
      <c r="A89" s="404"/>
      <c r="B89" s="400"/>
      <c r="D89" s="406"/>
      <c r="E89" s="406"/>
      <c r="F89" s="405"/>
      <c r="G89" s="406"/>
      <c r="H89" s="406"/>
      <c r="I89" s="406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9" customFormat="1" ht="18.75" customHeight="1">
      <c r="B94" s="393"/>
      <c r="C94" s="400"/>
      <c r="D94" s="401"/>
      <c r="E94" s="401"/>
      <c r="F94" s="402"/>
      <c r="G94" s="401"/>
      <c r="H94" s="401"/>
      <c r="I94" s="401"/>
    </row>
    <row r="95" spans="1:9" s="399" customFormat="1" ht="18.75" customHeight="1">
      <c r="B95" s="393"/>
      <c r="C95" s="400"/>
      <c r="D95" s="401"/>
      <c r="E95" s="401"/>
      <c r="F95" s="402"/>
      <c r="G95" s="401"/>
      <c r="H95" s="401"/>
      <c r="I95" s="401"/>
    </row>
    <row r="96" spans="1:9" s="399" customFormat="1" ht="18.75" customHeight="1">
      <c r="B96" s="393"/>
      <c r="C96" s="400"/>
      <c r="D96" s="401"/>
      <c r="E96" s="401"/>
      <c r="F96" s="402"/>
      <c r="G96" s="401"/>
      <c r="H96" s="401"/>
      <c r="I96" s="401"/>
    </row>
    <row r="97" spans="2:9" s="399" customFormat="1" ht="18.75" customHeight="1">
      <c r="B97" s="393"/>
      <c r="C97" s="400"/>
      <c r="D97" s="401"/>
      <c r="E97" s="401"/>
      <c r="F97" s="402"/>
      <c r="G97" s="401"/>
      <c r="H97" s="401"/>
      <c r="I97" s="401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N43"/>
  <sheetViews>
    <sheetView topLeftCell="A61" workbookViewId="0">
      <selection activeCell="E24" sqref="E22:E24"/>
    </sheetView>
  </sheetViews>
  <sheetFormatPr defaultColWidth="9.140625" defaultRowHeight="16.5"/>
  <cols>
    <col min="1" max="1" width="4.85546875" style="472" customWidth="1"/>
    <col min="2" max="2" width="34.140625" style="472" customWidth="1"/>
    <col min="3" max="3" width="12.5703125" style="474" customWidth="1"/>
    <col min="4" max="4" width="13.28515625" style="475" bestFit="1" customWidth="1"/>
    <col min="5" max="5" width="15.7109375" style="475" customWidth="1"/>
    <col min="6" max="6" width="15.85546875" style="472" customWidth="1"/>
    <col min="7" max="7" width="14.5703125" style="496" bestFit="1" customWidth="1"/>
    <col min="8" max="8" width="10.42578125" style="496" customWidth="1"/>
    <col min="9" max="9" width="16.5703125" style="496" customWidth="1"/>
    <col min="10" max="10" width="11.5703125" style="496" customWidth="1"/>
    <col min="11" max="11" width="10" style="496" customWidth="1"/>
    <col min="12" max="12" width="12.85546875" style="496" customWidth="1"/>
    <col min="13" max="13" width="13.28515625" style="496" customWidth="1"/>
    <col min="14" max="16384" width="9.140625" style="472"/>
  </cols>
  <sheetData>
    <row r="1" spans="1:10" ht="47.25" customHeight="1">
      <c r="A1" s="634" t="s">
        <v>2146</v>
      </c>
      <c r="B1" s="634"/>
      <c r="C1" s="634"/>
      <c r="D1" s="634"/>
      <c r="E1" s="634"/>
      <c r="F1" s="471"/>
      <c r="G1" s="495"/>
      <c r="H1" s="495"/>
    </row>
    <row r="2" spans="1:10" ht="18.75" customHeight="1">
      <c r="A2" s="473"/>
      <c r="G2" s="472"/>
      <c r="H2" s="497"/>
    </row>
    <row r="3" spans="1:10" s="430" customFormat="1" ht="39.75" customHeight="1">
      <c r="A3" s="426"/>
      <c r="B3" s="427" t="s">
        <v>1992</v>
      </c>
      <c r="C3" s="516" t="s">
        <v>487</v>
      </c>
      <c r="D3" s="517" t="s">
        <v>1993</v>
      </c>
      <c r="E3" s="517" t="s">
        <v>1994</v>
      </c>
      <c r="F3" s="517" t="s">
        <v>1995</v>
      </c>
    </row>
    <row r="4" spans="1:10" s="424" customFormat="1" ht="17.25" customHeight="1">
      <c r="B4" s="435" t="s">
        <v>2158</v>
      </c>
      <c r="C4" s="518"/>
      <c r="D4" s="519"/>
      <c r="E4" s="520"/>
      <c r="F4" s="440"/>
    </row>
    <row r="5" spans="1:10" s="424" customFormat="1" ht="17.25" customHeight="1">
      <c r="B5" s="441" t="s">
        <v>2157</v>
      </c>
      <c r="C5" s="521">
        <v>52000</v>
      </c>
      <c r="D5" s="522">
        <v>2.85</v>
      </c>
      <c r="E5" s="523">
        <f>C5*D5</f>
        <v>148200</v>
      </c>
      <c r="F5" s="445"/>
    </row>
    <row r="6" spans="1:10" s="423" customFormat="1" ht="17.25" customHeight="1">
      <c r="B6" s="524" t="s">
        <v>2156</v>
      </c>
      <c r="C6" s="525"/>
      <c r="D6" s="526"/>
      <c r="E6" s="527"/>
      <c r="F6" s="528"/>
    </row>
    <row r="7" spans="1:10" s="424" customFormat="1" ht="17.25" customHeight="1">
      <c r="B7" s="441" t="s">
        <v>2160</v>
      </c>
      <c r="C7" s="521"/>
      <c r="D7" s="522"/>
      <c r="E7" s="523"/>
      <c r="F7" s="443">
        <v>148188</v>
      </c>
    </row>
    <row r="8" spans="1:10" s="424" customFormat="1" ht="17.25" customHeight="1">
      <c r="B8" s="441"/>
      <c r="C8" s="521"/>
      <c r="D8" s="522"/>
      <c r="E8" s="523"/>
      <c r="F8" s="445"/>
    </row>
    <row r="9" spans="1:10" s="423" customFormat="1" ht="17.25" customHeight="1">
      <c r="B9" s="451" t="s">
        <v>2001</v>
      </c>
      <c r="C9" s="533">
        <f>SUM(C4:C8)</f>
        <v>52000</v>
      </c>
      <c r="D9" s="533"/>
      <c r="E9" s="533">
        <f t="shared" ref="E9:F9" si="0">SUM(E4:E8)</f>
        <v>148200</v>
      </c>
      <c r="F9" s="533">
        <f t="shared" si="0"/>
        <v>148188</v>
      </c>
    </row>
    <row r="10" spans="1:10" s="424" customFormat="1" ht="17.25" customHeight="1">
      <c r="B10" s="435" t="s">
        <v>2159</v>
      </c>
      <c r="C10" s="521"/>
      <c r="D10" s="522"/>
      <c r="E10" s="523">
        <f t="shared" ref="E10:E11" si="1">C10*D10</f>
        <v>0</v>
      </c>
      <c r="F10" s="445"/>
      <c r="I10" s="17"/>
      <c r="J10" s="17"/>
    </row>
    <row r="11" spans="1:10" s="424" customFormat="1" ht="17.25" customHeight="1">
      <c r="B11" s="441" t="s">
        <v>2157</v>
      </c>
      <c r="C11" s="521">
        <v>52000</v>
      </c>
      <c r="D11" s="522">
        <v>2.85</v>
      </c>
      <c r="E11" s="523">
        <f t="shared" si="1"/>
        <v>148200</v>
      </c>
      <c r="F11" s="445"/>
    </row>
    <row r="12" spans="1:10" s="423" customFormat="1" ht="17.25" customHeight="1">
      <c r="B12" s="524" t="s">
        <v>2156</v>
      </c>
      <c r="C12" s="525"/>
      <c r="D12" s="526"/>
      <c r="E12" s="527"/>
      <c r="F12" s="528"/>
    </row>
    <row r="13" spans="1:10" s="424" customFormat="1" ht="17.25" customHeight="1">
      <c r="B13" s="441"/>
      <c r="C13" s="521"/>
      <c r="D13" s="522"/>
      <c r="E13" s="523"/>
      <c r="F13" s="445"/>
    </row>
    <row r="14" spans="1:10" s="424" customFormat="1" ht="17.25" customHeight="1">
      <c r="B14" s="446"/>
      <c r="C14" s="529"/>
      <c r="D14" s="530"/>
      <c r="E14" s="531"/>
      <c r="F14" s="532"/>
    </row>
    <row r="15" spans="1:10" s="423" customFormat="1" ht="17.25" customHeight="1">
      <c r="B15" s="451" t="s">
        <v>2001</v>
      </c>
      <c r="C15" s="533">
        <f>SUM(C10:C14)</f>
        <v>52000</v>
      </c>
      <c r="D15" s="533"/>
      <c r="E15" s="533">
        <f t="shared" ref="E15:F15" si="2">SUM(E10:E14)</f>
        <v>148200</v>
      </c>
      <c r="F15" s="533">
        <f t="shared" si="2"/>
        <v>0</v>
      </c>
    </row>
    <row r="16" spans="1:10" s="423" customFormat="1" ht="17.25" customHeight="1">
      <c r="B16" s="534"/>
      <c r="C16" s="535"/>
      <c r="D16" s="536"/>
      <c r="E16" s="537"/>
      <c r="F16" s="76"/>
      <c r="G16" s="513" t="s">
        <v>2142</v>
      </c>
    </row>
    <row r="17" spans="1:14" s="473" customFormat="1" ht="36.75" customHeight="1">
      <c r="A17" s="476" t="s">
        <v>0</v>
      </c>
      <c r="B17" s="476" t="s">
        <v>1992</v>
      </c>
      <c r="C17" s="477" t="s">
        <v>487</v>
      </c>
      <c r="D17" s="478" t="s">
        <v>1993</v>
      </c>
      <c r="E17" s="478" t="s">
        <v>489</v>
      </c>
      <c r="G17" s="508" t="s">
        <v>13</v>
      </c>
      <c r="H17" s="508" t="s">
        <v>923</v>
      </c>
      <c r="I17" s="498" t="s">
        <v>1992</v>
      </c>
      <c r="J17" s="508" t="s">
        <v>2144</v>
      </c>
      <c r="K17" s="477" t="s">
        <v>58</v>
      </c>
      <c r="L17" s="512" t="s">
        <v>2145</v>
      </c>
      <c r="M17" s="512" t="s">
        <v>489</v>
      </c>
    </row>
    <row r="18" spans="1:14" ht="17.25" customHeight="1">
      <c r="A18" s="479">
        <f>ROW()-3</f>
        <v>15</v>
      </c>
      <c r="B18" s="480" t="s">
        <v>2131</v>
      </c>
      <c r="C18" s="481">
        <f>52000*2</f>
        <v>104000</v>
      </c>
      <c r="D18" s="482">
        <v>300</v>
      </c>
      <c r="E18" s="482">
        <f t="shared" ref="E18:E25" si="3">C18*D18</f>
        <v>31200000</v>
      </c>
      <c r="G18" s="505">
        <v>42574</v>
      </c>
      <c r="H18" s="505">
        <v>42586</v>
      </c>
      <c r="I18" s="506" t="s">
        <v>2143</v>
      </c>
      <c r="J18" s="509">
        <f>H18-G18+1</f>
        <v>13</v>
      </c>
      <c r="K18" s="510">
        <v>3.1070000000000002</v>
      </c>
      <c r="L18" s="507">
        <v>18000</v>
      </c>
      <c r="M18" s="507">
        <f>L18*K18*J18</f>
        <v>727038.00000000012</v>
      </c>
      <c r="N18" s="487"/>
    </row>
    <row r="19" spans="1:14" ht="17.25" customHeight="1">
      <c r="A19" s="483">
        <f t="shared" ref="A19:A25" si="4">ROW()-3</f>
        <v>16</v>
      </c>
      <c r="B19" s="484" t="s">
        <v>2132</v>
      </c>
      <c r="C19" s="485">
        <v>4</v>
      </c>
      <c r="D19" s="486">
        <v>2000000</v>
      </c>
      <c r="E19" s="486">
        <f t="shared" si="3"/>
        <v>8000000</v>
      </c>
      <c r="G19" s="503">
        <v>42575</v>
      </c>
      <c r="H19" s="503">
        <v>42586</v>
      </c>
      <c r="I19" s="506" t="s">
        <v>2143</v>
      </c>
      <c r="J19" s="509">
        <f t="shared" ref="J19:J29" si="5">H19-G19+1</f>
        <v>12</v>
      </c>
      <c r="K19" s="511">
        <v>22.893000000000001</v>
      </c>
      <c r="L19" s="507">
        <v>18000</v>
      </c>
      <c r="M19" s="507">
        <f t="shared" ref="M19:M29" si="6">L19*K19*J19</f>
        <v>4944888</v>
      </c>
      <c r="N19" s="487"/>
    </row>
    <row r="20" spans="1:14" ht="17.25" customHeight="1">
      <c r="A20" s="483">
        <f t="shared" si="4"/>
        <v>17</v>
      </c>
      <c r="B20" s="484" t="s">
        <v>2133</v>
      </c>
      <c r="C20" s="485">
        <v>4</v>
      </c>
      <c r="D20" s="486">
        <v>2000000</v>
      </c>
      <c r="E20" s="486">
        <f t="shared" si="3"/>
        <v>8000000</v>
      </c>
      <c r="G20" s="503">
        <v>42575</v>
      </c>
      <c r="H20" s="503">
        <v>42587</v>
      </c>
      <c r="I20" s="506" t="s">
        <v>2143</v>
      </c>
      <c r="J20" s="509">
        <f t="shared" si="5"/>
        <v>13</v>
      </c>
      <c r="K20" s="511">
        <v>2.2879999999999998</v>
      </c>
      <c r="L20" s="507">
        <v>18000</v>
      </c>
      <c r="M20" s="507">
        <f t="shared" si="6"/>
        <v>535392</v>
      </c>
      <c r="N20" s="487"/>
    </row>
    <row r="21" spans="1:14" ht="17.25" customHeight="1">
      <c r="A21" s="483">
        <f t="shared" si="4"/>
        <v>18</v>
      </c>
      <c r="B21" s="484" t="s">
        <v>2134</v>
      </c>
      <c r="C21" s="485">
        <v>4</v>
      </c>
      <c r="D21" s="486">
        <v>600000</v>
      </c>
      <c r="E21" s="486">
        <f t="shared" si="3"/>
        <v>2400000</v>
      </c>
      <c r="G21" s="503">
        <v>42576</v>
      </c>
      <c r="H21" s="503">
        <v>42587</v>
      </c>
      <c r="I21" s="506" t="s">
        <v>2143</v>
      </c>
      <c r="J21" s="509">
        <f t="shared" si="5"/>
        <v>12</v>
      </c>
      <c r="K21" s="511">
        <v>7.67</v>
      </c>
      <c r="L21" s="507">
        <v>18000</v>
      </c>
      <c r="M21" s="507">
        <f t="shared" si="6"/>
        <v>1656720</v>
      </c>
      <c r="N21" s="487"/>
    </row>
    <row r="22" spans="1:14" ht="17.25" customHeight="1">
      <c r="A22" s="483">
        <f t="shared" si="4"/>
        <v>19</v>
      </c>
      <c r="B22" s="484" t="s">
        <v>2135</v>
      </c>
      <c r="C22" s="485">
        <v>4</v>
      </c>
      <c r="D22" s="486">
        <v>15306800</v>
      </c>
      <c r="E22" s="486">
        <f>C22*D22</f>
        <v>61227200</v>
      </c>
      <c r="G22" s="503">
        <v>42577</v>
      </c>
      <c r="H22" s="503">
        <v>42587</v>
      </c>
      <c r="I22" s="506" t="s">
        <v>2143</v>
      </c>
      <c r="J22" s="509">
        <f t="shared" si="5"/>
        <v>11</v>
      </c>
      <c r="K22" s="511">
        <v>16.042000000000002</v>
      </c>
      <c r="L22" s="507">
        <v>18000</v>
      </c>
      <c r="M22" s="507">
        <f t="shared" si="6"/>
        <v>3176316</v>
      </c>
      <c r="N22" s="487"/>
    </row>
    <row r="23" spans="1:14" ht="17.25" customHeight="1">
      <c r="A23" s="483">
        <f t="shared" si="4"/>
        <v>20</v>
      </c>
      <c r="B23" s="484" t="s">
        <v>2136</v>
      </c>
      <c r="C23" s="485">
        <v>4</v>
      </c>
      <c r="D23" s="486">
        <v>7378778</v>
      </c>
      <c r="E23" s="486">
        <f t="shared" si="3"/>
        <v>29515112</v>
      </c>
      <c r="G23" s="503">
        <v>42577</v>
      </c>
      <c r="H23" s="503">
        <v>42593</v>
      </c>
      <c r="I23" s="506" t="s">
        <v>2143</v>
      </c>
      <c r="J23" s="509">
        <f t="shared" si="5"/>
        <v>17</v>
      </c>
      <c r="K23" s="511">
        <v>1.794</v>
      </c>
      <c r="L23" s="507">
        <v>18000</v>
      </c>
      <c r="M23" s="507">
        <f t="shared" si="6"/>
        <v>548964</v>
      </c>
      <c r="N23" s="487"/>
    </row>
    <row r="24" spans="1:14" ht="17.25" customHeight="1">
      <c r="A24" s="483">
        <f t="shared" si="4"/>
        <v>21</v>
      </c>
      <c r="B24" s="484" t="s">
        <v>2137</v>
      </c>
      <c r="C24" s="485">
        <v>4</v>
      </c>
      <c r="D24" s="486">
        <v>5600000</v>
      </c>
      <c r="E24" s="486">
        <f t="shared" si="3"/>
        <v>22400000</v>
      </c>
      <c r="G24" s="503">
        <v>42578</v>
      </c>
      <c r="H24" s="503">
        <v>42593</v>
      </c>
      <c r="I24" s="506" t="s">
        <v>2143</v>
      </c>
      <c r="J24" s="509">
        <f t="shared" si="5"/>
        <v>16</v>
      </c>
      <c r="K24" s="511">
        <v>22.399000000000001</v>
      </c>
      <c r="L24" s="507">
        <v>18000</v>
      </c>
      <c r="M24" s="507">
        <f t="shared" si="6"/>
        <v>6450912</v>
      </c>
      <c r="N24" s="487"/>
    </row>
    <row r="25" spans="1:14" ht="16.5" customHeight="1">
      <c r="A25" s="483">
        <f t="shared" si="4"/>
        <v>22</v>
      </c>
      <c r="B25" s="484" t="s">
        <v>2139</v>
      </c>
      <c r="C25" s="485">
        <v>4</v>
      </c>
      <c r="D25" s="486">
        <f>88*22500</f>
        <v>1980000</v>
      </c>
      <c r="E25" s="486">
        <f t="shared" si="3"/>
        <v>7920000</v>
      </c>
      <c r="G25" s="503">
        <v>42579</v>
      </c>
      <c r="H25" s="503">
        <v>42593</v>
      </c>
      <c r="I25" s="506" t="s">
        <v>2143</v>
      </c>
      <c r="J25" s="509">
        <f t="shared" si="5"/>
        <v>15</v>
      </c>
      <c r="K25" s="511">
        <v>1.8069999999999999</v>
      </c>
      <c r="L25" s="507">
        <v>18000</v>
      </c>
      <c r="M25" s="507">
        <f t="shared" si="6"/>
        <v>487890</v>
      </c>
      <c r="N25" s="487"/>
    </row>
    <row r="26" spans="1:14" ht="16.5" customHeight="1">
      <c r="A26" s="483">
        <v>9</v>
      </c>
      <c r="B26" s="484" t="s">
        <v>2140</v>
      </c>
      <c r="C26" s="485">
        <v>2</v>
      </c>
      <c r="D26" s="486">
        <v>1350000</v>
      </c>
      <c r="E26" s="486">
        <f>C26*D26</f>
        <v>2700000</v>
      </c>
      <c r="G26" s="503">
        <v>42579</v>
      </c>
      <c r="H26" s="503">
        <v>42594</v>
      </c>
      <c r="I26" s="506" t="s">
        <v>2143</v>
      </c>
      <c r="J26" s="509">
        <f t="shared" si="5"/>
        <v>16</v>
      </c>
      <c r="K26" s="511">
        <v>11.843</v>
      </c>
      <c r="L26" s="507">
        <v>18000</v>
      </c>
      <c r="M26" s="507">
        <f t="shared" si="6"/>
        <v>3410784</v>
      </c>
      <c r="N26" s="487"/>
    </row>
    <row r="27" spans="1:14" ht="17.25" customHeight="1">
      <c r="A27" s="483">
        <v>10</v>
      </c>
      <c r="B27" s="484" t="s">
        <v>2147</v>
      </c>
      <c r="C27" s="485">
        <f>C18</f>
        <v>104000</v>
      </c>
      <c r="D27" s="486">
        <v>50</v>
      </c>
      <c r="E27" s="486">
        <f>C27*D27</f>
        <v>5200000</v>
      </c>
      <c r="G27" s="503">
        <v>42590</v>
      </c>
      <c r="H27" s="503">
        <v>42594</v>
      </c>
      <c r="I27" s="506" t="s">
        <v>2143</v>
      </c>
      <c r="J27" s="509">
        <f>H27-G27+1</f>
        <v>5</v>
      </c>
      <c r="K27" s="511">
        <v>7.54</v>
      </c>
      <c r="L27" s="507">
        <v>18000</v>
      </c>
      <c r="M27" s="507">
        <f>L27*K27*J27</f>
        <v>678600</v>
      </c>
      <c r="N27" s="487"/>
    </row>
    <row r="28" spans="1:14" ht="17.25" customHeight="1">
      <c r="A28" s="483">
        <v>11</v>
      </c>
      <c r="B28" s="484" t="s">
        <v>2141</v>
      </c>
      <c r="C28" s="485"/>
      <c r="D28" s="486"/>
      <c r="E28" s="486">
        <f>M31</f>
        <v>22818510</v>
      </c>
      <c r="G28" s="503">
        <v>42593</v>
      </c>
      <c r="H28" s="503">
        <v>42594</v>
      </c>
      <c r="I28" s="506" t="s">
        <v>2143</v>
      </c>
      <c r="J28" s="509">
        <f>H28-G28+1</f>
        <v>2</v>
      </c>
      <c r="K28" s="511">
        <v>4.55</v>
      </c>
      <c r="L28" s="507">
        <v>18000</v>
      </c>
      <c r="M28" s="507">
        <f>L28*K28*J28</f>
        <v>163800</v>
      </c>
      <c r="N28" s="487"/>
    </row>
    <row r="29" spans="1:14" s="473" customFormat="1" ht="17.25" customHeight="1">
      <c r="A29" s="483">
        <v>12</v>
      </c>
      <c r="B29" s="484" t="s">
        <v>2166</v>
      </c>
      <c r="C29" s="485"/>
      <c r="D29" s="486"/>
      <c r="E29" s="486">
        <v>1000000</v>
      </c>
      <c r="F29" s="472"/>
      <c r="G29" s="503">
        <v>42594</v>
      </c>
      <c r="H29" s="503">
        <v>42594</v>
      </c>
      <c r="I29" s="506" t="s">
        <v>2143</v>
      </c>
      <c r="J29" s="509">
        <f t="shared" si="5"/>
        <v>1</v>
      </c>
      <c r="K29" s="511">
        <v>2.0670000000000002</v>
      </c>
      <c r="L29" s="507">
        <v>18000</v>
      </c>
      <c r="M29" s="507">
        <f t="shared" si="6"/>
        <v>37206</v>
      </c>
      <c r="N29" s="487"/>
    </row>
    <row r="30" spans="1:14" ht="11.25" customHeight="1">
      <c r="A30" s="483"/>
      <c r="B30" s="484"/>
      <c r="C30" s="485"/>
      <c r="D30" s="486"/>
      <c r="E30" s="486"/>
      <c r="G30" s="504"/>
      <c r="H30" s="504"/>
      <c r="I30" s="488"/>
      <c r="J30" s="488"/>
      <c r="K30" s="499"/>
      <c r="L30" s="500"/>
      <c r="M30" s="500">
        <f t="shared" ref="M30" si="7">K30*L30</f>
        <v>0</v>
      </c>
    </row>
    <row r="31" spans="1:14" ht="18.75" customHeight="1">
      <c r="A31" s="492"/>
      <c r="B31" s="492" t="s">
        <v>2008</v>
      </c>
      <c r="C31" s="493"/>
      <c r="D31" s="494"/>
      <c r="E31" s="494">
        <f>SUM(E18:E30)</f>
        <v>202380822</v>
      </c>
      <c r="F31" s="473"/>
      <c r="G31" s="206"/>
      <c r="H31" s="206"/>
      <c r="I31" s="206" t="s">
        <v>2008</v>
      </c>
      <c r="J31" s="206"/>
      <c r="K31" s="501"/>
      <c r="L31" s="502"/>
      <c r="M31" s="502">
        <f>SUM(M18:M30)</f>
        <v>22818510</v>
      </c>
    </row>
    <row r="32" spans="1:14" ht="18.75" customHeight="1"/>
    <row r="33" spans="1:10" s="496" customFormat="1">
      <c r="A33" s="472"/>
      <c r="B33" s="472"/>
      <c r="C33" s="474"/>
      <c r="D33" s="475" t="s">
        <v>2138</v>
      </c>
      <c r="E33" s="475">
        <f>E31/C18</f>
        <v>1945.9694423076924</v>
      </c>
      <c r="F33" s="472"/>
    </row>
    <row r="35" spans="1:10" ht="33">
      <c r="A35" s="498" t="s">
        <v>0</v>
      </c>
      <c r="B35" s="508" t="s">
        <v>1992</v>
      </c>
      <c r="C35" s="477" t="s">
        <v>2162</v>
      </c>
      <c r="D35" s="512" t="s">
        <v>2010</v>
      </c>
      <c r="E35" s="512" t="s">
        <v>489</v>
      </c>
      <c r="F35" s="512" t="s">
        <v>2161</v>
      </c>
    </row>
    <row r="36" spans="1:10">
      <c r="A36" s="483">
        <v>1</v>
      </c>
      <c r="B36" s="484" t="s">
        <v>2163</v>
      </c>
      <c r="C36" s="485">
        <f>F9</f>
        <v>148188</v>
      </c>
      <c r="D36" s="486">
        <v>22260</v>
      </c>
      <c r="E36" s="486">
        <f t="shared" ref="E36:E37" si="8">C36*D36</f>
        <v>3298664880</v>
      </c>
      <c r="F36" s="486"/>
    </row>
    <row r="37" spans="1:10">
      <c r="A37" s="483">
        <v>2</v>
      </c>
      <c r="B37" s="484" t="s">
        <v>2167</v>
      </c>
      <c r="C37" s="485"/>
      <c r="D37" s="486"/>
      <c r="E37" s="486">
        <f t="shared" si="8"/>
        <v>0</v>
      </c>
      <c r="F37" s="486">
        <v>1416959000</v>
      </c>
      <c r="G37" s="538"/>
      <c r="H37" s="539"/>
      <c r="I37" s="538"/>
      <c r="J37" s="540"/>
    </row>
    <row r="38" spans="1:10">
      <c r="A38" s="483">
        <v>3</v>
      </c>
      <c r="B38" s="484" t="s">
        <v>2164</v>
      </c>
      <c r="C38" s="485"/>
      <c r="D38" s="486"/>
      <c r="E38" s="486">
        <f>C38*D38</f>
        <v>0</v>
      </c>
      <c r="F38" s="486">
        <v>1421958000</v>
      </c>
      <c r="G38" s="538"/>
      <c r="H38" s="539"/>
      <c r="I38" s="538"/>
      <c r="J38" s="540"/>
    </row>
    <row r="39" spans="1:10">
      <c r="A39" s="483">
        <v>5</v>
      </c>
      <c r="B39" s="484" t="s">
        <v>2165</v>
      </c>
      <c r="C39" s="485"/>
      <c r="D39" s="486"/>
      <c r="E39" s="486">
        <f>C39*D39</f>
        <v>0</v>
      </c>
      <c r="F39" s="486">
        <v>257367058</v>
      </c>
      <c r="G39" s="538"/>
      <c r="H39" s="539"/>
      <c r="I39" s="538"/>
      <c r="J39" s="540"/>
    </row>
    <row r="40" spans="1:10">
      <c r="A40" s="488"/>
      <c r="B40" s="489"/>
      <c r="C40" s="490"/>
      <c r="D40" s="491"/>
      <c r="E40" s="491">
        <f>M41</f>
        <v>0</v>
      </c>
      <c r="F40" s="491"/>
    </row>
    <row r="41" spans="1:10">
      <c r="A41" s="492"/>
      <c r="B41" s="492" t="s">
        <v>2169</v>
      </c>
      <c r="C41" s="493"/>
      <c r="D41" s="494"/>
      <c r="E41" s="494">
        <f>SUM(E36:E40)</f>
        <v>3298664880</v>
      </c>
      <c r="F41" s="494">
        <f>SUM(F36:F40)</f>
        <v>3096284058</v>
      </c>
    </row>
    <row r="43" spans="1:10">
      <c r="D43" s="541" t="s">
        <v>2168</v>
      </c>
      <c r="F43" s="542">
        <f>E41-F41</f>
        <v>202380822</v>
      </c>
    </row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pane ySplit="3" topLeftCell="A4" activePane="bottomLeft" state="frozen"/>
      <selection pane="bottomLeft" activeCell="D16" sqref="D16"/>
    </sheetView>
  </sheetViews>
  <sheetFormatPr defaultColWidth="10.7109375" defaultRowHeight="18" customHeight="1"/>
  <cols>
    <col min="1" max="1" width="4.7109375" style="546" customWidth="1"/>
    <col min="2" max="2" width="9.7109375" style="546" customWidth="1"/>
    <col min="3" max="3" width="27.7109375" style="546" customWidth="1"/>
    <col min="4" max="4" width="13.85546875" style="546" customWidth="1"/>
    <col min="5" max="5" width="22.85546875" style="546" customWidth="1"/>
    <col min="6" max="6" width="9" style="546" customWidth="1"/>
    <col min="7" max="7" width="6.85546875" style="546" customWidth="1"/>
    <col min="8" max="8" width="11.7109375" style="546" customWidth="1"/>
    <col min="9" max="9" width="10.7109375" style="546"/>
    <col min="10" max="10" width="9.5703125" style="546" customWidth="1"/>
    <col min="11" max="16384" width="10.7109375" style="546"/>
  </cols>
  <sheetData>
    <row r="1" spans="1:11" ht="27" customHeight="1">
      <c r="A1" s="636" t="s">
        <v>2186</v>
      </c>
      <c r="B1" s="636"/>
      <c r="C1" s="636"/>
      <c r="D1" s="636"/>
      <c r="E1" s="636"/>
      <c r="F1" s="636"/>
      <c r="G1" s="636"/>
      <c r="H1" s="636"/>
      <c r="I1" s="636"/>
      <c r="J1" s="636"/>
      <c r="K1" s="636"/>
    </row>
    <row r="2" spans="1:11" s="545" customFormat="1" ht="19.5" customHeight="1">
      <c r="A2" s="640" t="s">
        <v>0</v>
      </c>
      <c r="B2" s="640" t="s">
        <v>2187</v>
      </c>
      <c r="C2" s="635" t="s">
        <v>2191</v>
      </c>
      <c r="D2" s="635"/>
      <c r="E2" s="635"/>
      <c r="F2" s="635" t="s">
        <v>2193</v>
      </c>
      <c r="G2" s="635"/>
      <c r="H2" s="635"/>
      <c r="I2" s="640" t="s">
        <v>2192</v>
      </c>
      <c r="J2" s="635" t="s">
        <v>1995</v>
      </c>
      <c r="K2" s="635"/>
    </row>
    <row r="3" spans="1:11" s="548" customFormat="1" ht="27" customHeight="1">
      <c r="A3" s="640"/>
      <c r="B3" s="640" t="s">
        <v>2187</v>
      </c>
      <c r="C3" s="549" t="s">
        <v>2188</v>
      </c>
      <c r="D3" s="549" t="s">
        <v>2189</v>
      </c>
      <c r="E3" s="549" t="s">
        <v>2190</v>
      </c>
      <c r="F3" s="549" t="s">
        <v>487</v>
      </c>
      <c r="G3" s="549" t="s">
        <v>1993</v>
      </c>
      <c r="H3" s="549" t="s">
        <v>489</v>
      </c>
      <c r="I3" s="640"/>
      <c r="J3" s="550" t="s">
        <v>2194</v>
      </c>
      <c r="K3" s="549" t="s">
        <v>2</v>
      </c>
    </row>
    <row r="4" spans="1:11" s="547" customFormat="1" ht="18" customHeight="1">
      <c r="A4" s="551">
        <f>IF(B4&lt;&gt;"",ROW()-3,"")</f>
        <v>1</v>
      </c>
      <c r="B4" s="555">
        <v>42587</v>
      </c>
      <c r="C4" s="551" t="s">
        <v>2197</v>
      </c>
      <c r="D4" s="551" t="s">
        <v>2195</v>
      </c>
      <c r="E4" s="551">
        <v>3290158</v>
      </c>
      <c r="F4" s="558">
        <v>26000</v>
      </c>
      <c r="G4" s="559">
        <v>2.85</v>
      </c>
      <c r="H4" s="559">
        <f>F4*G4</f>
        <v>74100</v>
      </c>
      <c r="I4" s="555"/>
      <c r="J4" s="555">
        <v>42626</v>
      </c>
      <c r="K4" s="559">
        <v>148188</v>
      </c>
    </row>
    <row r="5" spans="1:11" s="547" customFormat="1" ht="18" customHeight="1">
      <c r="A5" s="551">
        <f t="shared" ref="A5:A24" si="0">IF(B5&lt;&gt;"",ROW()-3,"")</f>
        <v>2</v>
      </c>
      <c r="B5" s="555">
        <v>42587</v>
      </c>
      <c r="C5" s="551" t="s">
        <v>2197</v>
      </c>
      <c r="D5" s="560" t="s">
        <v>2196</v>
      </c>
      <c r="E5" s="560">
        <v>3290198</v>
      </c>
      <c r="F5" s="558">
        <v>26000</v>
      </c>
      <c r="G5" s="559">
        <v>2.85</v>
      </c>
      <c r="H5" s="559">
        <f t="shared" ref="H5:H24" si="1">F5*G5</f>
        <v>74100</v>
      </c>
      <c r="I5" s="556"/>
      <c r="J5" s="556"/>
      <c r="K5" s="559"/>
    </row>
    <row r="6" spans="1:11" s="547" customFormat="1" ht="18" customHeight="1">
      <c r="A6" s="551">
        <f t="shared" si="0"/>
        <v>3</v>
      </c>
      <c r="B6" s="556">
        <v>42594</v>
      </c>
      <c r="C6" s="560" t="s">
        <v>2198</v>
      </c>
      <c r="D6" s="560" t="s">
        <v>2199</v>
      </c>
      <c r="E6" s="560">
        <v>3751842</v>
      </c>
      <c r="F6" s="558">
        <v>26000</v>
      </c>
      <c r="G6" s="559">
        <v>2.85</v>
      </c>
      <c r="H6" s="559">
        <f t="shared" si="1"/>
        <v>74100</v>
      </c>
      <c r="I6" s="556"/>
      <c r="J6" s="556">
        <v>42633</v>
      </c>
      <c r="K6" s="559">
        <v>148188</v>
      </c>
    </row>
    <row r="7" spans="1:11" s="547" customFormat="1" ht="18" customHeight="1">
      <c r="A7" s="551">
        <f t="shared" si="0"/>
        <v>4</v>
      </c>
      <c r="B7" s="556">
        <v>42594</v>
      </c>
      <c r="C7" s="560" t="s">
        <v>2198</v>
      </c>
      <c r="D7" s="560" t="s">
        <v>2200</v>
      </c>
      <c r="E7" s="560">
        <v>3755190</v>
      </c>
      <c r="F7" s="558">
        <v>26000</v>
      </c>
      <c r="G7" s="559">
        <v>2.85</v>
      </c>
      <c r="H7" s="559">
        <f t="shared" si="1"/>
        <v>74100</v>
      </c>
      <c r="I7" s="556"/>
      <c r="J7" s="556"/>
      <c r="K7" s="560"/>
    </row>
    <row r="8" spans="1:11" s="547" customFormat="1" ht="18" customHeight="1">
      <c r="A8" s="551">
        <f t="shared" si="0"/>
        <v>5</v>
      </c>
      <c r="B8" s="556">
        <v>42661</v>
      </c>
      <c r="C8" s="560" t="s">
        <v>2205</v>
      </c>
      <c r="D8" s="560" t="s">
        <v>2201</v>
      </c>
      <c r="E8" s="560" t="s">
        <v>2203</v>
      </c>
      <c r="F8" s="558">
        <v>26000</v>
      </c>
      <c r="G8" s="559">
        <v>2.8</v>
      </c>
      <c r="H8" s="559">
        <f t="shared" si="1"/>
        <v>72800</v>
      </c>
      <c r="I8" s="556"/>
      <c r="J8" s="556"/>
      <c r="K8" s="560"/>
    </row>
    <row r="9" spans="1:11" s="547" customFormat="1" ht="18" customHeight="1">
      <c r="A9" s="551">
        <f t="shared" si="0"/>
        <v>6</v>
      </c>
      <c r="B9" s="556">
        <v>42661</v>
      </c>
      <c r="C9" s="560" t="s">
        <v>2205</v>
      </c>
      <c r="D9" s="560" t="s">
        <v>2202</v>
      </c>
      <c r="E9" s="560" t="s">
        <v>2204</v>
      </c>
      <c r="F9" s="558">
        <v>26000</v>
      </c>
      <c r="G9" s="559">
        <v>2.8</v>
      </c>
      <c r="H9" s="559">
        <f t="shared" si="1"/>
        <v>72800</v>
      </c>
      <c r="I9" s="556"/>
      <c r="J9" s="556"/>
      <c r="K9" s="560"/>
    </row>
    <row r="10" spans="1:11" s="547" customFormat="1" ht="18" customHeight="1">
      <c r="A10" s="551">
        <f t="shared" si="0"/>
        <v>7</v>
      </c>
      <c r="B10" s="556">
        <v>42674</v>
      </c>
      <c r="C10" s="560"/>
      <c r="D10" s="560"/>
      <c r="E10" s="560"/>
      <c r="F10" s="558">
        <v>26000</v>
      </c>
      <c r="G10" s="559">
        <v>2.8</v>
      </c>
      <c r="H10" s="559">
        <f t="shared" si="1"/>
        <v>72800</v>
      </c>
      <c r="I10" s="556"/>
      <c r="J10" s="556"/>
      <c r="K10" s="560"/>
    </row>
    <row r="11" spans="1:11" s="547" customFormat="1" ht="18" customHeight="1">
      <c r="A11" s="551">
        <f t="shared" si="0"/>
        <v>8</v>
      </c>
      <c r="B11" s="556">
        <v>42674</v>
      </c>
      <c r="C11" s="560"/>
      <c r="D11" s="560"/>
      <c r="E11" s="560"/>
      <c r="F11" s="558">
        <v>26000</v>
      </c>
      <c r="G11" s="559">
        <v>2.8</v>
      </c>
      <c r="H11" s="559">
        <f t="shared" si="1"/>
        <v>72800</v>
      </c>
      <c r="I11" s="556"/>
      <c r="J11" s="556"/>
      <c r="K11" s="560"/>
    </row>
    <row r="12" spans="1:11" s="547" customFormat="1" ht="18" customHeight="1">
      <c r="A12" s="551" t="str">
        <f t="shared" si="0"/>
        <v/>
      </c>
      <c r="B12" s="556"/>
      <c r="C12" s="560"/>
      <c r="D12" s="560"/>
      <c r="E12" s="560"/>
      <c r="F12" s="558"/>
      <c r="G12" s="559"/>
      <c r="H12" s="559">
        <f t="shared" si="1"/>
        <v>0</v>
      </c>
      <c r="I12" s="556"/>
      <c r="J12" s="556"/>
      <c r="K12" s="560"/>
    </row>
    <row r="13" spans="1:11" s="547" customFormat="1" ht="18" customHeight="1">
      <c r="A13" s="551" t="str">
        <f t="shared" si="0"/>
        <v/>
      </c>
      <c r="B13" s="556"/>
      <c r="C13" s="560"/>
      <c r="D13" s="560"/>
      <c r="E13" s="560"/>
      <c r="F13" s="558"/>
      <c r="G13" s="559"/>
      <c r="H13" s="559">
        <f t="shared" si="1"/>
        <v>0</v>
      </c>
      <c r="I13" s="556"/>
      <c r="J13" s="556"/>
      <c r="K13" s="560"/>
    </row>
    <row r="14" spans="1:11" s="547" customFormat="1" ht="18" customHeight="1">
      <c r="A14" s="551" t="str">
        <f t="shared" si="0"/>
        <v/>
      </c>
      <c r="B14" s="556"/>
      <c r="C14" s="560"/>
      <c r="D14" s="560"/>
      <c r="E14" s="560"/>
      <c r="F14" s="558"/>
      <c r="G14" s="559"/>
      <c r="H14" s="559">
        <f t="shared" si="1"/>
        <v>0</v>
      </c>
      <c r="I14" s="556"/>
      <c r="J14" s="556"/>
      <c r="K14" s="560"/>
    </row>
    <row r="15" spans="1:11" s="547" customFormat="1" ht="18" customHeight="1">
      <c r="A15" s="551" t="str">
        <f t="shared" si="0"/>
        <v/>
      </c>
      <c r="B15" s="556"/>
      <c r="C15" s="560"/>
      <c r="D15" s="560"/>
      <c r="E15" s="560"/>
      <c r="F15" s="558"/>
      <c r="G15" s="559"/>
      <c r="H15" s="559">
        <f t="shared" si="1"/>
        <v>0</v>
      </c>
      <c r="I15" s="556"/>
      <c r="J15" s="556"/>
      <c r="K15" s="560"/>
    </row>
    <row r="16" spans="1:11" s="547" customFormat="1" ht="18" customHeight="1">
      <c r="A16" s="551" t="str">
        <f t="shared" si="0"/>
        <v/>
      </c>
      <c r="B16" s="556"/>
      <c r="C16" s="560"/>
      <c r="D16" s="560"/>
      <c r="E16" s="560"/>
      <c r="F16" s="558"/>
      <c r="G16" s="559"/>
      <c r="H16" s="559">
        <f t="shared" si="1"/>
        <v>0</v>
      </c>
      <c r="I16" s="556"/>
      <c r="J16" s="556"/>
      <c r="K16" s="560"/>
    </row>
    <row r="17" spans="1:11" s="547" customFormat="1" ht="18" customHeight="1">
      <c r="A17" s="551" t="str">
        <f t="shared" si="0"/>
        <v/>
      </c>
      <c r="B17" s="556"/>
      <c r="C17" s="560"/>
      <c r="D17" s="560"/>
      <c r="E17" s="560"/>
      <c r="F17" s="558"/>
      <c r="G17" s="559"/>
      <c r="H17" s="559">
        <f t="shared" si="1"/>
        <v>0</v>
      </c>
      <c r="I17" s="556"/>
      <c r="J17" s="556"/>
      <c r="K17" s="560"/>
    </row>
    <row r="18" spans="1:11" s="547" customFormat="1" ht="18" customHeight="1">
      <c r="A18" s="551" t="str">
        <f t="shared" si="0"/>
        <v/>
      </c>
      <c r="B18" s="556"/>
      <c r="C18" s="560"/>
      <c r="D18" s="560"/>
      <c r="E18" s="560"/>
      <c r="F18" s="558"/>
      <c r="G18" s="559"/>
      <c r="H18" s="559">
        <f t="shared" si="1"/>
        <v>0</v>
      </c>
      <c r="I18" s="556"/>
      <c r="J18" s="556"/>
      <c r="K18" s="560"/>
    </row>
    <row r="19" spans="1:11" s="547" customFormat="1" ht="18" customHeight="1">
      <c r="A19" s="551" t="str">
        <f t="shared" si="0"/>
        <v/>
      </c>
      <c r="B19" s="556"/>
      <c r="C19" s="560"/>
      <c r="D19" s="560"/>
      <c r="E19" s="560"/>
      <c r="F19" s="558"/>
      <c r="G19" s="559"/>
      <c r="H19" s="559">
        <f t="shared" si="1"/>
        <v>0</v>
      </c>
      <c r="I19" s="556"/>
      <c r="J19" s="556"/>
      <c r="K19" s="560"/>
    </row>
    <row r="20" spans="1:11" s="547" customFormat="1" ht="18" customHeight="1">
      <c r="A20" s="551" t="str">
        <f t="shared" si="0"/>
        <v/>
      </c>
      <c r="B20" s="556"/>
      <c r="C20" s="560"/>
      <c r="D20" s="560"/>
      <c r="E20" s="560"/>
      <c r="F20" s="558"/>
      <c r="G20" s="559"/>
      <c r="H20" s="559">
        <f t="shared" si="1"/>
        <v>0</v>
      </c>
      <c r="I20" s="556"/>
      <c r="J20" s="556"/>
      <c r="K20" s="560"/>
    </row>
    <row r="21" spans="1:11" s="547" customFormat="1" ht="18" customHeight="1">
      <c r="A21" s="551" t="str">
        <f t="shared" si="0"/>
        <v/>
      </c>
      <c r="B21" s="556"/>
      <c r="C21" s="560"/>
      <c r="D21" s="560"/>
      <c r="E21" s="560"/>
      <c r="F21" s="558"/>
      <c r="G21" s="559"/>
      <c r="H21" s="559">
        <f t="shared" si="1"/>
        <v>0</v>
      </c>
      <c r="I21" s="556"/>
      <c r="J21" s="556"/>
      <c r="K21" s="560"/>
    </row>
    <row r="22" spans="1:11" s="547" customFormat="1" ht="18" customHeight="1">
      <c r="A22" s="551" t="str">
        <f t="shared" si="0"/>
        <v/>
      </c>
      <c r="B22" s="556"/>
      <c r="C22" s="560"/>
      <c r="D22" s="560"/>
      <c r="E22" s="560"/>
      <c r="F22" s="558"/>
      <c r="G22" s="559"/>
      <c r="H22" s="559">
        <f t="shared" si="1"/>
        <v>0</v>
      </c>
      <c r="I22" s="556"/>
      <c r="J22" s="556"/>
      <c r="K22" s="560"/>
    </row>
    <row r="23" spans="1:11" s="547" customFormat="1" ht="18" customHeight="1">
      <c r="A23" s="551" t="str">
        <f t="shared" si="0"/>
        <v/>
      </c>
      <c r="B23" s="556"/>
      <c r="C23" s="560"/>
      <c r="D23" s="560"/>
      <c r="E23" s="560"/>
      <c r="F23" s="558"/>
      <c r="G23" s="559"/>
      <c r="H23" s="559">
        <f t="shared" si="1"/>
        <v>0</v>
      </c>
      <c r="I23" s="556"/>
      <c r="J23" s="556"/>
      <c r="K23" s="560"/>
    </row>
    <row r="24" spans="1:11" s="547" customFormat="1" ht="18" customHeight="1">
      <c r="A24" s="552" t="str">
        <f t="shared" si="0"/>
        <v/>
      </c>
      <c r="B24" s="557"/>
      <c r="C24" s="561"/>
      <c r="D24" s="561"/>
      <c r="E24" s="561"/>
      <c r="F24" s="562"/>
      <c r="G24" s="563"/>
      <c r="H24" s="563">
        <f t="shared" si="1"/>
        <v>0</v>
      </c>
      <c r="I24" s="557"/>
      <c r="J24" s="556"/>
      <c r="K24" s="561"/>
    </row>
    <row r="25" spans="1:11" s="545" customFormat="1" ht="18" customHeight="1">
      <c r="A25" s="637" t="s">
        <v>3</v>
      </c>
      <c r="B25" s="638"/>
      <c r="C25" s="638"/>
      <c r="D25" s="638"/>
      <c r="E25" s="639"/>
      <c r="F25" s="554">
        <f t="shared" ref="F25" si="2">SUM(F4:F24)</f>
        <v>208000</v>
      </c>
      <c r="G25" s="553"/>
      <c r="H25" s="553">
        <f>SUM(H4:H24)</f>
        <v>587600</v>
      </c>
      <c r="I25" s="550"/>
      <c r="J25" s="550"/>
      <c r="K25" s="553">
        <f>SUM(K4:K24)</f>
        <v>296376</v>
      </c>
    </row>
  </sheetData>
  <mergeCells count="8">
    <mergeCell ref="J2:K2"/>
    <mergeCell ref="A1:K1"/>
    <mergeCell ref="A25:E25"/>
    <mergeCell ref="A2:A3"/>
    <mergeCell ref="B2:B3"/>
    <mergeCell ref="C2:E2"/>
    <mergeCell ref="F2:H2"/>
    <mergeCell ref="I2:I3"/>
  </mergeCells>
  <pageMargins left="0.16" right="0.16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Trung - Tokai</vt:lpstr>
      <vt:lpstr>CP-MỰC</vt:lpstr>
      <vt:lpstr>M.T.NAM</vt:lpstr>
      <vt:lpstr>NGHỊ HÒA</vt:lpstr>
      <vt:lpstr>PHÁT</vt:lpstr>
      <vt:lpstr>T.M.THƯ</vt:lpstr>
      <vt:lpstr>GC - TQ</vt:lpstr>
      <vt:lpstr>TD-TQ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2016-12-12T08:29:53Z</cp:lastPrinted>
  <dcterms:created xsi:type="dcterms:W3CDTF">1996-10-14T23:33:28Z</dcterms:created>
  <dcterms:modified xsi:type="dcterms:W3CDTF">2016-12-13T03:14:42Z</dcterms:modified>
</cp:coreProperties>
</file>