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5" windowWidth="21840" windowHeight="9075" activeTab="2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  <sheet name="10-16" sheetId="14" r:id="rId12"/>
    <sheet name="11-16" sheetId="15" r:id="rId13"/>
  </sheets>
  <externalReferences>
    <externalReference r:id="rId14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11" hidden="1">'10-16'!$A$3:$S$21</definedName>
    <definedName name="_xlnm._FilterDatabase" localSheetId="12" hidden="1">'11-16'!$A$3:$S$23</definedName>
    <definedName name="_xlnm._FilterDatabase" localSheetId="0" hidden="1">TH!$B$3:$X$158</definedName>
    <definedName name="Dong">IF(Loai="p1",ROW(Loai)-1,"")</definedName>
    <definedName name="DS">TH!$A$4:$Q$157</definedName>
    <definedName name="Loai">OFFSET(TH!$R$4,,,COUNTA(TH!$R$4:$R$39728))</definedName>
    <definedName name="N_1">TH!$R$4:$R$157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  <definedName name="_xlnm.Print_Titles" localSheetId="11">'10-16'!$2:$3</definedName>
    <definedName name="_xlnm.Print_Titles" localSheetId="12">'11-16'!$2:$3</definedName>
  </definedNames>
  <calcPr calcId="144525"/>
</workbook>
</file>

<file path=xl/calcChain.xml><?xml version="1.0" encoding="utf-8"?>
<calcChain xmlns="http://schemas.openxmlformats.org/spreadsheetml/2006/main">
  <c r="P124" i="5" l="1"/>
  <c r="B129" i="5" l="1"/>
  <c r="B128" i="5"/>
  <c r="B127" i="5"/>
  <c r="B126" i="5"/>
  <c r="B125" i="5"/>
  <c r="B124" i="5"/>
  <c r="B123" i="5"/>
  <c r="B122" i="5"/>
  <c r="B121" i="5"/>
  <c r="B120" i="5"/>
  <c r="B119" i="5"/>
  <c r="B118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49" i="5"/>
  <c r="B148" i="5"/>
  <c r="B147" i="5"/>
  <c r="B146" i="5"/>
  <c r="B145" i="5"/>
  <c r="B144" i="5"/>
  <c r="B143" i="5"/>
  <c r="B142" i="5"/>
  <c r="R129" i="5" l="1"/>
  <c r="A127" i="5"/>
  <c r="R125" i="5"/>
  <c r="A123" i="5"/>
  <c r="R121" i="5"/>
  <c r="A119" i="5"/>
  <c r="A128" i="5"/>
  <c r="R126" i="5"/>
  <c r="A124" i="5"/>
  <c r="R122" i="5"/>
  <c r="R118" i="5"/>
  <c r="A129" i="5"/>
  <c r="R127" i="5"/>
  <c r="A125" i="5"/>
  <c r="R123" i="5"/>
  <c r="A121" i="5"/>
  <c r="R119" i="5"/>
  <c r="R128" i="5"/>
  <c r="A126" i="5"/>
  <c r="R124" i="5"/>
  <c r="A122" i="5"/>
  <c r="R120" i="5"/>
  <c r="A118" i="5"/>
  <c r="A120" i="5"/>
  <c r="R141" i="5"/>
  <c r="R138" i="5"/>
  <c r="A136" i="5"/>
  <c r="A132" i="5"/>
  <c r="R135" i="5"/>
  <c r="A133" i="5"/>
  <c r="R131" i="5"/>
  <c r="A141" i="5"/>
  <c r="R139" i="5"/>
  <c r="R140" i="5"/>
  <c r="A138" i="5"/>
  <c r="R136" i="5"/>
  <c r="A134" i="5"/>
  <c r="R132" i="5"/>
  <c r="A130" i="5"/>
  <c r="A139" i="5"/>
  <c r="R137" i="5"/>
  <c r="A135" i="5"/>
  <c r="R133" i="5"/>
  <c r="A131" i="5"/>
  <c r="A140" i="5"/>
  <c r="R134" i="5"/>
  <c r="R130" i="5"/>
  <c r="A137" i="5"/>
  <c r="R149" i="5"/>
  <c r="A147" i="5"/>
  <c r="R145" i="5"/>
  <c r="A143" i="5"/>
  <c r="A148" i="5"/>
  <c r="A144" i="5"/>
  <c r="A149" i="5"/>
  <c r="R147" i="5"/>
  <c r="A145" i="5"/>
  <c r="R143" i="5"/>
  <c r="A142" i="5"/>
  <c r="R146" i="5"/>
  <c r="R142" i="5"/>
  <c r="R148" i="5"/>
  <c r="A146" i="5"/>
  <c r="R144" i="5"/>
  <c r="L20" i="15"/>
  <c r="A20" i="15"/>
  <c r="A21" i="15"/>
  <c r="P12" i="15" l="1"/>
  <c r="P11" i="15"/>
  <c r="P13" i="15"/>
  <c r="P14" i="15"/>
  <c r="P15" i="15"/>
  <c r="P16" i="15"/>
  <c r="P17" i="15"/>
  <c r="P18" i="15"/>
  <c r="P19" i="15"/>
  <c r="N19" i="15" s="1"/>
  <c r="N41" i="15"/>
  <c r="J41" i="15"/>
  <c r="I41" i="15"/>
  <c r="G41" i="15"/>
  <c r="F41" i="15"/>
  <c r="E41" i="15"/>
  <c r="P38" i="15"/>
  <c r="O38" i="15"/>
  <c r="L38" i="15"/>
  <c r="L41" i="15" s="1"/>
  <c r="K38" i="15"/>
  <c r="A38" i="15"/>
  <c r="P37" i="15"/>
  <c r="O37" i="15"/>
  <c r="M37" i="15"/>
  <c r="K37" i="15"/>
  <c r="A37" i="15"/>
  <c r="P36" i="15"/>
  <c r="O36" i="15"/>
  <c r="M36" i="15"/>
  <c r="K36" i="15"/>
  <c r="A36" i="15"/>
  <c r="P35" i="15"/>
  <c r="O35" i="15"/>
  <c r="M35" i="15"/>
  <c r="K35" i="15"/>
  <c r="A35" i="15"/>
  <c r="P34" i="15"/>
  <c r="O34" i="15"/>
  <c r="M34" i="15"/>
  <c r="K34" i="15"/>
  <c r="A34" i="15"/>
  <c r="P33" i="15"/>
  <c r="O33" i="15"/>
  <c r="M33" i="15"/>
  <c r="K33" i="15"/>
  <c r="A33" i="15"/>
  <c r="P32" i="15"/>
  <c r="O32" i="15"/>
  <c r="M32" i="15"/>
  <c r="K32" i="15"/>
  <c r="A32" i="15"/>
  <c r="P31" i="15"/>
  <c r="O31" i="15"/>
  <c r="M31" i="15"/>
  <c r="K31" i="15"/>
  <c r="A31" i="15"/>
  <c r="P30" i="15"/>
  <c r="O30" i="15"/>
  <c r="M30" i="15"/>
  <c r="K30" i="15"/>
  <c r="A30" i="15"/>
  <c r="P29" i="15"/>
  <c r="O29" i="15"/>
  <c r="M29" i="15"/>
  <c r="K29" i="15"/>
  <c r="A29" i="15"/>
  <c r="P28" i="15"/>
  <c r="O28" i="15"/>
  <c r="M28" i="15"/>
  <c r="K28" i="15"/>
  <c r="A28" i="15"/>
  <c r="P27" i="15"/>
  <c r="O27" i="15"/>
  <c r="M27" i="15"/>
  <c r="K27" i="15"/>
  <c r="A27" i="15"/>
  <c r="P26" i="15"/>
  <c r="O26" i="15"/>
  <c r="M26" i="15"/>
  <c r="K26" i="15"/>
  <c r="A26" i="15"/>
  <c r="P25" i="15"/>
  <c r="O25" i="15"/>
  <c r="M25" i="15"/>
  <c r="K25" i="15"/>
  <c r="A25" i="15"/>
  <c r="P24" i="15"/>
  <c r="P41" i="15" s="1"/>
  <c r="O24" i="15"/>
  <c r="O41" i="15" s="1"/>
  <c r="M24" i="15"/>
  <c r="K24" i="15"/>
  <c r="A24" i="15"/>
  <c r="M23" i="15"/>
  <c r="K23" i="15"/>
  <c r="J23" i="15"/>
  <c r="I23" i="15"/>
  <c r="E23" i="15"/>
  <c r="O19" i="15"/>
  <c r="L19" i="15"/>
  <c r="A19" i="15"/>
  <c r="O18" i="15"/>
  <c r="L18" i="15"/>
  <c r="A18" i="15"/>
  <c r="O17" i="15"/>
  <c r="L17" i="15"/>
  <c r="A17" i="15"/>
  <c r="O16" i="15"/>
  <c r="L16" i="15"/>
  <c r="A16" i="15"/>
  <c r="O15" i="15"/>
  <c r="L15" i="15"/>
  <c r="A15" i="15"/>
  <c r="T14" i="15"/>
  <c r="O14" i="15"/>
  <c r="L14" i="15"/>
  <c r="A14" i="15"/>
  <c r="O13" i="15"/>
  <c r="L13" i="15"/>
  <c r="A13" i="15"/>
  <c r="O12" i="15"/>
  <c r="L12" i="15"/>
  <c r="A12" i="15"/>
  <c r="O11" i="15"/>
  <c r="A11" i="15"/>
  <c r="O10" i="15"/>
  <c r="L10" i="15"/>
  <c r="P10" i="15"/>
  <c r="A10" i="15"/>
  <c r="N9" i="15"/>
  <c r="J9" i="15"/>
  <c r="G9" i="15"/>
  <c r="G23" i="15" s="1"/>
  <c r="F9" i="15"/>
  <c r="P7" i="15"/>
  <c r="O7" i="15"/>
  <c r="L7" i="15"/>
  <c r="A7" i="15"/>
  <c r="P6" i="15"/>
  <c r="O6" i="15"/>
  <c r="L6" i="15"/>
  <c r="A6" i="15"/>
  <c r="P5" i="15"/>
  <c r="O5" i="15"/>
  <c r="L5" i="15"/>
  <c r="A5" i="15"/>
  <c r="P4" i="15"/>
  <c r="O4" i="15"/>
  <c r="L4" i="15"/>
  <c r="L9" i="15" s="1"/>
  <c r="A4" i="15"/>
  <c r="P9" i="15" l="1"/>
  <c r="O9" i="15"/>
  <c r="L11" i="15"/>
  <c r="L23" i="15" s="1"/>
  <c r="O23" i="15"/>
  <c r="K41" i="15"/>
  <c r="M41" i="15"/>
  <c r="P23" i="15"/>
  <c r="F23" i="15"/>
  <c r="P99" i="5"/>
  <c r="B96" i="5" l="1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50" i="5"/>
  <c r="B151" i="5"/>
  <c r="B152" i="5"/>
  <c r="B153" i="5"/>
  <c r="B154" i="5"/>
  <c r="B155" i="5"/>
  <c r="P95" i="5" l="1"/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50" i="5"/>
  <c r="A151" i="5"/>
  <c r="A152" i="5"/>
  <c r="A153" i="5"/>
  <c r="A154" i="5"/>
  <c r="A155" i="5"/>
  <c r="A156" i="5"/>
  <c r="A157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50" i="5"/>
  <c r="R151" i="5"/>
  <c r="R152" i="5"/>
  <c r="R153" i="5"/>
  <c r="R154" i="5"/>
  <c r="R155" i="5"/>
  <c r="R156" i="5"/>
  <c r="R157" i="5"/>
  <c r="B74" i="5" l="1"/>
  <c r="B73" i="5" l="1"/>
  <c r="P70" i="5" l="1"/>
  <c r="R70" i="5" s="1"/>
  <c r="P69" i="5" l="1"/>
  <c r="R69" i="5" s="1"/>
  <c r="F21" i="14" l="1"/>
  <c r="N39" i="14"/>
  <c r="J39" i="14"/>
  <c r="I39" i="14"/>
  <c r="G39" i="14"/>
  <c r="F39" i="14"/>
  <c r="E39" i="14"/>
  <c r="P36" i="14"/>
  <c r="O36" i="14"/>
  <c r="L36" i="14"/>
  <c r="L39" i="14" s="1"/>
  <c r="K36" i="14"/>
  <c r="A36" i="14"/>
  <c r="P35" i="14"/>
  <c r="O35" i="14"/>
  <c r="M35" i="14"/>
  <c r="K35" i="14"/>
  <c r="A35" i="14"/>
  <c r="P34" i="14"/>
  <c r="O34" i="14"/>
  <c r="M34" i="14"/>
  <c r="K34" i="14"/>
  <c r="A34" i="14"/>
  <c r="P33" i="14"/>
  <c r="O33" i="14"/>
  <c r="M33" i="14"/>
  <c r="K33" i="14"/>
  <c r="A33" i="14"/>
  <c r="P32" i="14"/>
  <c r="O32" i="14"/>
  <c r="M32" i="14"/>
  <c r="K32" i="14"/>
  <c r="A32" i="14"/>
  <c r="P31" i="14"/>
  <c r="O31" i="14"/>
  <c r="M31" i="14"/>
  <c r="K31" i="14"/>
  <c r="A31" i="14"/>
  <c r="P30" i="14"/>
  <c r="O30" i="14"/>
  <c r="M30" i="14"/>
  <c r="K30" i="14"/>
  <c r="A30" i="14"/>
  <c r="P29" i="14"/>
  <c r="O29" i="14"/>
  <c r="M29" i="14"/>
  <c r="K29" i="14"/>
  <c r="A29" i="14"/>
  <c r="P28" i="14"/>
  <c r="O28" i="14"/>
  <c r="M28" i="14"/>
  <c r="K28" i="14"/>
  <c r="A28" i="14"/>
  <c r="P27" i="14"/>
  <c r="O27" i="14"/>
  <c r="M27" i="14"/>
  <c r="K27" i="14"/>
  <c r="A27" i="14"/>
  <c r="P26" i="14"/>
  <c r="O26" i="14"/>
  <c r="M26" i="14"/>
  <c r="K26" i="14"/>
  <c r="A26" i="14"/>
  <c r="P25" i="14"/>
  <c r="O25" i="14"/>
  <c r="M25" i="14"/>
  <c r="K25" i="14"/>
  <c r="A25" i="14"/>
  <c r="P24" i="14"/>
  <c r="O24" i="14"/>
  <c r="M24" i="14"/>
  <c r="K24" i="14"/>
  <c r="A24" i="14"/>
  <c r="P23" i="14"/>
  <c r="O23" i="14"/>
  <c r="M23" i="14"/>
  <c r="K23" i="14"/>
  <c r="A23" i="14"/>
  <c r="P22" i="14"/>
  <c r="P39" i="14" s="1"/>
  <c r="O22" i="14"/>
  <c r="O39" i="14" s="1"/>
  <c r="M22" i="14"/>
  <c r="M39" i="14" s="1"/>
  <c r="K22" i="14"/>
  <c r="K39" i="14" s="1"/>
  <c r="A22" i="14"/>
  <c r="M21" i="14"/>
  <c r="K21" i="14"/>
  <c r="J21" i="14"/>
  <c r="I21" i="14"/>
  <c r="E21" i="14"/>
  <c r="P19" i="14"/>
  <c r="N19" i="14" s="1"/>
  <c r="O19" i="14"/>
  <c r="L19" i="14"/>
  <c r="A19" i="14"/>
  <c r="P18" i="14"/>
  <c r="O18" i="14"/>
  <c r="L18" i="14"/>
  <c r="A18" i="14"/>
  <c r="P17" i="14"/>
  <c r="O17" i="14"/>
  <c r="L17" i="14"/>
  <c r="A17" i="14"/>
  <c r="P16" i="14"/>
  <c r="O16" i="14"/>
  <c r="L16" i="14"/>
  <c r="A16" i="14"/>
  <c r="P15" i="14"/>
  <c r="O15" i="14"/>
  <c r="L15" i="14"/>
  <c r="A15" i="14"/>
  <c r="T14" i="14"/>
  <c r="P14" i="14"/>
  <c r="O14" i="14"/>
  <c r="L14" i="14"/>
  <c r="A14" i="14"/>
  <c r="O13" i="14"/>
  <c r="L13" i="14"/>
  <c r="A13" i="14"/>
  <c r="O12" i="14"/>
  <c r="L12" i="14"/>
  <c r="F12" i="14"/>
  <c r="P12" i="14" s="1"/>
  <c r="A12" i="14"/>
  <c r="O11" i="14"/>
  <c r="L11" i="14"/>
  <c r="F11" i="14"/>
  <c r="P11" i="14" s="1"/>
  <c r="A11" i="14"/>
  <c r="P10" i="14"/>
  <c r="O10" i="14"/>
  <c r="L10" i="14"/>
  <c r="F10" i="14"/>
  <c r="A10" i="14"/>
  <c r="N9" i="14"/>
  <c r="L9" i="14"/>
  <c r="J9" i="14"/>
  <c r="G9" i="14"/>
  <c r="G21" i="14" s="1"/>
  <c r="F9" i="14"/>
  <c r="P7" i="14"/>
  <c r="O7" i="14"/>
  <c r="L7" i="14"/>
  <c r="A7" i="14"/>
  <c r="P6" i="14"/>
  <c r="O6" i="14"/>
  <c r="L6" i="14"/>
  <c r="A6" i="14"/>
  <c r="P5" i="14"/>
  <c r="O5" i="14"/>
  <c r="L5" i="14"/>
  <c r="A5" i="14"/>
  <c r="P4" i="14"/>
  <c r="P9" i="14" s="1"/>
  <c r="O4" i="14"/>
  <c r="O9" i="14" s="1"/>
  <c r="L4" i="14"/>
  <c r="A4" i="14"/>
  <c r="L21" i="14" l="1"/>
  <c r="O21" i="14"/>
  <c r="P13" i="14"/>
  <c r="P21" i="14" s="1"/>
  <c r="P65" i="5"/>
  <c r="R65" i="5" s="1"/>
  <c r="N39" i="13" l="1"/>
  <c r="J39" i="13"/>
  <c r="I39" i="13"/>
  <c r="G39" i="13"/>
  <c r="F39" i="13"/>
  <c r="E39" i="13"/>
  <c r="P36" i="13"/>
  <c r="O36" i="13"/>
  <c r="L36" i="13"/>
  <c r="L39" i="13" s="1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 s="1"/>
  <c r="O22" i="13"/>
  <c r="O39" i="13" s="1"/>
  <c r="M22" i="13"/>
  <c r="M39" i="13" s="1"/>
  <c r="K22" i="13"/>
  <c r="K39" i="13" s="1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 s="1"/>
  <c r="A13" i="13"/>
  <c r="O12" i="13"/>
  <c r="L12" i="13"/>
  <c r="F12" i="13"/>
  <c r="P12" i="13" s="1"/>
  <c r="A12" i="13"/>
  <c r="O11" i="13"/>
  <c r="F11" i="13"/>
  <c r="L11" i="13" s="1"/>
  <c r="A11" i="13"/>
  <c r="O10" i="13"/>
  <c r="F10" i="13"/>
  <c r="P10" i="13" s="1"/>
  <c r="A10" i="13"/>
  <c r="N9" i="13"/>
  <c r="L9" i="13"/>
  <c r="J9" i="13"/>
  <c r="G9" i="13"/>
  <c r="G21" i="13" s="1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 s="1"/>
  <c r="O4" i="13"/>
  <c r="O9" i="13" s="1"/>
  <c r="L4" i="13"/>
  <c r="A4" i="13"/>
  <c r="P11" i="13" l="1"/>
  <c r="O21" i="13"/>
  <c r="P19" i="13"/>
  <c r="N19" i="13" s="1"/>
  <c r="L10" i="13"/>
  <c r="L21" i="13" s="1"/>
  <c r="F21" i="13"/>
  <c r="P21" i="13" l="1"/>
  <c r="T15" i="12" l="1"/>
  <c r="N14" i="12"/>
  <c r="E17" i="12" l="1"/>
  <c r="E16" i="12"/>
  <c r="M23" i="12" l="1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 l="1"/>
  <c r="P5" i="12"/>
  <c r="P6" i="12"/>
  <c r="P7" i="12"/>
  <c r="P15" i="12"/>
  <c r="P16" i="12"/>
  <c r="P17" i="12"/>
  <c r="P18" i="12"/>
  <c r="P19" i="12"/>
  <c r="F14" i="12" l="1"/>
  <c r="P14" i="12" s="1"/>
  <c r="F12" i="12"/>
  <c r="P12" i="12" s="1"/>
  <c r="F11" i="12"/>
  <c r="P11" i="12" s="1"/>
  <c r="F13" i="12"/>
  <c r="P13" i="12" s="1"/>
  <c r="F10" i="12"/>
  <c r="P10" i="12" s="1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 s="1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 s="1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 s="1"/>
  <c r="P40" i="11"/>
  <c r="L40" i="11"/>
  <c r="L43" i="11" s="1"/>
  <c r="K40" i="11"/>
  <c r="A40" i="11"/>
  <c r="Q39" i="11"/>
  <c r="O39" i="11" s="1"/>
  <c r="P39" i="11"/>
  <c r="K39" i="11"/>
  <c r="A39" i="11"/>
  <c r="Q38" i="11"/>
  <c r="P38" i="11"/>
  <c r="O38" i="11"/>
  <c r="M38" i="11"/>
  <c r="K38" i="11"/>
  <c r="A38" i="11"/>
  <c r="Q37" i="11"/>
  <c r="O37" i="11" s="1"/>
  <c r="P37" i="11"/>
  <c r="K37" i="11"/>
  <c r="A37" i="11"/>
  <c r="Q36" i="11"/>
  <c r="P36" i="11"/>
  <c r="O36" i="11"/>
  <c r="M36" i="11"/>
  <c r="K36" i="11"/>
  <c r="A36" i="11"/>
  <c r="Q35" i="11"/>
  <c r="O35" i="11" s="1"/>
  <c r="P35" i="11"/>
  <c r="K35" i="11"/>
  <c r="A35" i="11"/>
  <c r="Q34" i="11"/>
  <c r="P34" i="11"/>
  <c r="O34" i="11"/>
  <c r="M34" i="11"/>
  <c r="K34" i="11"/>
  <c r="A34" i="11"/>
  <c r="Q33" i="11"/>
  <c r="O33" i="11" s="1"/>
  <c r="P33" i="11"/>
  <c r="K33" i="11"/>
  <c r="A33" i="11"/>
  <c r="Q32" i="11"/>
  <c r="P32" i="11"/>
  <c r="O32" i="11"/>
  <c r="M32" i="11"/>
  <c r="K32" i="11"/>
  <c r="A32" i="11"/>
  <c r="Q31" i="11"/>
  <c r="O31" i="11" s="1"/>
  <c r="P31" i="11"/>
  <c r="K31" i="11"/>
  <c r="A31" i="11"/>
  <c r="Q30" i="11"/>
  <c r="P30" i="11"/>
  <c r="O30" i="11"/>
  <c r="M30" i="11"/>
  <c r="K30" i="11"/>
  <c r="A30" i="11"/>
  <c r="Q29" i="11"/>
  <c r="O29" i="11" s="1"/>
  <c r="P29" i="11"/>
  <c r="K29" i="11"/>
  <c r="A29" i="11"/>
  <c r="Q28" i="11"/>
  <c r="P28" i="11"/>
  <c r="O28" i="11"/>
  <c r="M28" i="11"/>
  <c r="K28" i="11"/>
  <c r="A28" i="11"/>
  <c r="Q27" i="11"/>
  <c r="O27" i="11" s="1"/>
  <c r="P27" i="11"/>
  <c r="K27" i="11"/>
  <c r="A27" i="11"/>
  <c r="Q26" i="11"/>
  <c r="P26" i="11"/>
  <c r="P43" i="11" s="1"/>
  <c r="O26" i="11"/>
  <c r="O43" i="11" s="1"/>
  <c r="M26" i="11"/>
  <c r="K26" i="11"/>
  <c r="K43" i="11" s="1"/>
  <c r="A26" i="11"/>
  <c r="M25" i="11"/>
  <c r="K25" i="11"/>
  <c r="J25" i="11"/>
  <c r="I25" i="11"/>
  <c r="F25" i="11"/>
  <c r="E25" i="11"/>
  <c r="Q23" i="11"/>
  <c r="P23" i="11" s="1"/>
  <c r="O23" i="11"/>
  <c r="L23" i="11"/>
  <c r="A23" i="11"/>
  <c r="Q22" i="11"/>
  <c r="P22" i="11"/>
  <c r="O22" i="11"/>
  <c r="L22" i="11"/>
  <c r="A22" i="11"/>
  <c r="Q21" i="11"/>
  <c r="P21" i="11" s="1"/>
  <c r="O21" i="11"/>
  <c r="L21" i="11"/>
  <c r="A21" i="11"/>
  <c r="Q20" i="11"/>
  <c r="P20" i="11" s="1"/>
  <c r="O20" i="11"/>
  <c r="L20" i="11"/>
  <c r="A20" i="11"/>
  <c r="Q19" i="11"/>
  <c r="P19" i="11" s="1"/>
  <c r="O19" i="11"/>
  <c r="L19" i="11"/>
  <c r="A19" i="11"/>
  <c r="Q18" i="11"/>
  <c r="P18" i="11"/>
  <c r="O18" i="11"/>
  <c r="O25" i="11" s="1"/>
  <c r="L18" i="11"/>
  <c r="A18" i="11"/>
  <c r="Q17" i="11"/>
  <c r="P17" i="11" s="1"/>
  <c r="O17" i="11"/>
  <c r="L17" i="11"/>
  <c r="A17" i="11"/>
  <c r="Q16" i="11"/>
  <c r="P16" i="11" s="1"/>
  <c r="P25" i="11" s="1"/>
  <c r="O16" i="11"/>
  <c r="L16" i="11"/>
  <c r="L25" i="11" s="1"/>
  <c r="A16" i="11"/>
  <c r="N15" i="11"/>
  <c r="J15" i="11"/>
  <c r="F15" i="11"/>
  <c r="Q13" i="11"/>
  <c r="O13" i="11" s="1"/>
  <c r="P13" i="11"/>
  <c r="L13" i="11"/>
  <c r="A13" i="11"/>
  <c r="Q12" i="11"/>
  <c r="P12" i="11"/>
  <c r="O12" i="11"/>
  <c r="L12" i="11"/>
  <c r="L15" i="11" s="1"/>
  <c r="A12" i="11"/>
  <c r="Q11" i="11"/>
  <c r="P11" i="11"/>
  <c r="O11" i="11"/>
  <c r="L11" i="11"/>
  <c r="A11" i="11"/>
  <c r="Q10" i="11"/>
  <c r="O10" i="11" s="1"/>
  <c r="P10" i="11"/>
  <c r="P15" i="11" s="1"/>
  <c r="L10" i="11"/>
  <c r="A10" i="11"/>
  <c r="N9" i="11"/>
  <c r="J9" i="11"/>
  <c r="G9" i="11"/>
  <c r="G15" i="11" s="1"/>
  <c r="G25" i="11" s="1"/>
  <c r="F9" i="11"/>
  <c r="Q7" i="11"/>
  <c r="P7" i="11" s="1"/>
  <c r="O7" i="11"/>
  <c r="L7" i="11"/>
  <c r="A7" i="11"/>
  <c r="Q6" i="11"/>
  <c r="P6" i="11" s="1"/>
  <c r="O6" i="11"/>
  <c r="L6" i="11"/>
  <c r="L9" i="11" s="1"/>
  <c r="A6" i="11"/>
  <c r="Q5" i="11"/>
  <c r="P5" i="11" s="1"/>
  <c r="O5" i="11"/>
  <c r="L5" i="11"/>
  <c r="A5" i="11"/>
  <c r="Q4" i="11"/>
  <c r="P4" i="11"/>
  <c r="P9" i="11" s="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 s="1"/>
  <c r="P38" i="10"/>
  <c r="K38" i="10"/>
  <c r="A38" i="10"/>
  <c r="Q37" i="10"/>
  <c r="P37" i="10"/>
  <c r="O37" i="10"/>
  <c r="M37" i="10"/>
  <c r="K37" i="10"/>
  <c r="A37" i="10"/>
  <c r="Q36" i="10"/>
  <c r="O36" i="10" s="1"/>
  <c r="P36" i="10"/>
  <c r="K36" i="10"/>
  <c r="A36" i="10"/>
  <c r="Q35" i="10"/>
  <c r="P35" i="10"/>
  <c r="O35" i="10"/>
  <c r="M35" i="10"/>
  <c r="K35" i="10"/>
  <c r="A35" i="10"/>
  <c r="Q34" i="10"/>
  <c r="O34" i="10" s="1"/>
  <c r="P34" i="10"/>
  <c r="K34" i="10"/>
  <c r="A34" i="10"/>
  <c r="Q33" i="10"/>
  <c r="P33" i="10"/>
  <c r="O33" i="10"/>
  <c r="M33" i="10"/>
  <c r="K33" i="10"/>
  <c r="A33" i="10"/>
  <c r="Q32" i="10"/>
  <c r="O32" i="10" s="1"/>
  <c r="P32" i="10"/>
  <c r="K32" i="10"/>
  <c r="A32" i="10"/>
  <c r="Q31" i="10"/>
  <c r="P31" i="10"/>
  <c r="O31" i="10"/>
  <c r="M31" i="10"/>
  <c r="K31" i="10"/>
  <c r="A31" i="10"/>
  <c r="Q30" i="10"/>
  <c r="O30" i="10" s="1"/>
  <c r="P30" i="10"/>
  <c r="K30" i="10"/>
  <c r="A30" i="10"/>
  <c r="Q29" i="10"/>
  <c r="P29" i="10"/>
  <c r="O29" i="10"/>
  <c r="M29" i="10"/>
  <c r="K29" i="10"/>
  <c r="A29" i="10"/>
  <c r="Q28" i="10"/>
  <c r="O28" i="10" s="1"/>
  <c r="P28" i="10"/>
  <c r="K28" i="10"/>
  <c r="A28" i="10"/>
  <c r="Q27" i="10"/>
  <c r="P27" i="10"/>
  <c r="O27" i="10"/>
  <c r="M27" i="10"/>
  <c r="K27" i="10"/>
  <c r="A27" i="10"/>
  <c r="Q26" i="10"/>
  <c r="O26" i="10" s="1"/>
  <c r="P26" i="10"/>
  <c r="P43" i="10" s="1"/>
  <c r="K26" i="10"/>
  <c r="K43" i="10" s="1"/>
  <c r="A26" i="10"/>
  <c r="M25" i="10"/>
  <c r="K25" i="10"/>
  <c r="J25" i="10"/>
  <c r="I25" i="10"/>
  <c r="F25" i="10"/>
  <c r="E25" i="10"/>
  <c r="Q23" i="10"/>
  <c r="P23" i="10" s="1"/>
  <c r="O23" i="10"/>
  <c r="L23" i="10"/>
  <c r="A23" i="10"/>
  <c r="Q22" i="10"/>
  <c r="P22" i="10" s="1"/>
  <c r="O22" i="10"/>
  <c r="L22" i="10"/>
  <c r="A22" i="10"/>
  <c r="Q21" i="10"/>
  <c r="P21" i="10" s="1"/>
  <c r="O21" i="10"/>
  <c r="L21" i="10"/>
  <c r="A21" i="10"/>
  <c r="Q20" i="10"/>
  <c r="P20" i="10"/>
  <c r="O20" i="10"/>
  <c r="L20" i="10"/>
  <c r="A20" i="10"/>
  <c r="Q19" i="10"/>
  <c r="P19" i="10" s="1"/>
  <c r="O19" i="10"/>
  <c r="L19" i="10"/>
  <c r="A19" i="10"/>
  <c r="Q18" i="10"/>
  <c r="P18" i="10" s="1"/>
  <c r="O18" i="10"/>
  <c r="L18" i="10"/>
  <c r="A18" i="10"/>
  <c r="Q17" i="10"/>
  <c r="P17" i="10" s="1"/>
  <c r="O17" i="10"/>
  <c r="L17" i="10"/>
  <c r="L25" i="10" s="1"/>
  <c r="A17" i="10"/>
  <c r="Q16" i="10"/>
  <c r="P16" i="10"/>
  <c r="O16" i="10"/>
  <c r="O25" i="10" s="1"/>
  <c r="L16" i="10"/>
  <c r="A16" i="10"/>
  <c r="J15" i="10"/>
  <c r="F15" i="10"/>
  <c r="Q13" i="10"/>
  <c r="P13" i="10"/>
  <c r="P15" i="10" s="1"/>
  <c r="O13" i="10"/>
  <c r="L13" i="10"/>
  <c r="A13" i="10"/>
  <c r="Q12" i="10"/>
  <c r="O12" i="10" s="1"/>
  <c r="P12" i="10"/>
  <c r="L12" i="10"/>
  <c r="A12" i="10"/>
  <c r="Q11" i="10"/>
  <c r="O11" i="10" s="1"/>
  <c r="P11" i="10"/>
  <c r="L11" i="10"/>
  <c r="A11" i="10"/>
  <c r="Q10" i="10"/>
  <c r="P10" i="10"/>
  <c r="O10" i="10"/>
  <c r="O15" i="10" s="1"/>
  <c r="L10" i="10"/>
  <c r="L15" i="10" s="1"/>
  <c r="A10" i="10"/>
  <c r="N9" i="10"/>
  <c r="N15" i="10" s="1"/>
  <c r="J9" i="10"/>
  <c r="G9" i="10"/>
  <c r="G15" i="10" s="1"/>
  <c r="G25" i="10" s="1"/>
  <c r="F9" i="10"/>
  <c r="Q7" i="10"/>
  <c r="P7" i="10" s="1"/>
  <c r="O7" i="10"/>
  <c r="O9" i="10" s="1"/>
  <c r="L7" i="10"/>
  <c r="A7" i="10"/>
  <c r="Q6" i="10"/>
  <c r="P6" i="10"/>
  <c r="O6" i="10"/>
  <c r="L6" i="10"/>
  <c r="A6" i="10"/>
  <c r="Q5" i="10"/>
  <c r="P5" i="10" s="1"/>
  <c r="O5" i="10"/>
  <c r="L5" i="10"/>
  <c r="A5" i="10"/>
  <c r="Q4" i="10"/>
  <c r="P4" i="10" s="1"/>
  <c r="P9" i="10" s="1"/>
  <c r="O4" i="10"/>
  <c r="L4" i="10"/>
  <c r="L9" i="10" s="1"/>
  <c r="A4" i="10"/>
  <c r="N44" i="9"/>
  <c r="J44" i="9"/>
  <c r="I44" i="9"/>
  <c r="G44" i="9"/>
  <c r="F44" i="9"/>
  <c r="E44" i="9"/>
  <c r="Q41" i="9"/>
  <c r="O41" i="9" s="1"/>
  <c r="P41" i="9"/>
  <c r="M41" i="9"/>
  <c r="L41" i="9"/>
  <c r="L44" i="9" s="1"/>
  <c r="K41" i="9"/>
  <c r="A41" i="9"/>
  <c r="Q40" i="9"/>
  <c r="O40" i="9" s="1"/>
  <c r="P40" i="9"/>
  <c r="K40" i="9"/>
  <c r="A40" i="9"/>
  <c r="Q39" i="9"/>
  <c r="P39" i="9"/>
  <c r="O39" i="9"/>
  <c r="M39" i="9"/>
  <c r="K39" i="9"/>
  <c r="A39" i="9"/>
  <c r="Q38" i="9"/>
  <c r="O38" i="9" s="1"/>
  <c r="P38" i="9"/>
  <c r="K38" i="9"/>
  <c r="A38" i="9"/>
  <c r="Q37" i="9"/>
  <c r="P37" i="9"/>
  <c r="O37" i="9"/>
  <c r="M37" i="9"/>
  <c r="K37" i="9"/>
  <c r="A37" i="9"/>
  <c r="Q36" i="9"/>
  <c r="O36" i="9" s="1"/>
  <c r="P36" i="9"/>
  <c r="K36" i="9"/>
  <c r="A36" i="9"/>
  <c r="Q35" i="9"/>
  <c r="P35" i="9"/>
  <c r="O35" i="9"/>
  <c r="M35" i="9"/>
  <c r="K35" i="9"/>
  <c r="A35" i="9"/>
  <c r="Q34" i="9"/>
  <c r="O34" i="9" s="1"/>
  <c r="P34" i="9"/>
  <c r="K34" i="9"/>
  <c r="A34" i="9"/>
  <c r="Q33" i="9"/>
  <c r="P33" i="9"/>
  <c r="O33" i="9"/>
  <c r="M33" i="9"/>
  <c r="K33" i="9"/>
  <c r="A33" i="9"/>
  <c r="Q32" i="9"/>
  <c r="O32" i="9" s="1"/>
  <c r="P32" i="9"/>
  <c r="K32" i="9"/>
  <c r="A32" i="9"/>
  <c r="Q31" i="9"/>
  <c r="P31" i="9"/>
  <c r="O31" i="9"/>
  <c r="M31" i="9"/>
  <c r="K31" i="9"/>
  <c r="A31" i="9"/>
  <c r="Q30" i="9"/>
  <c r="O30" i="9" s="1"/>
  <c r="P30" i="9"/>
  <c r="K30" i="9"/>
  <c r="A30" i="9"/>
  <c r="Q29" i="9"/>
  <c r="P29" i="9"/>
  <c r="O29" i="9"/>
  <c r="M29" i="9"/>
  <c r="K29" i="9"/>
  <c r="A29" i="9"/>
  <c r="Q28" i="9"/>
  <c r="O28" i="9" s="1"/>
  <c r="P28" i="9"/>
  <c r="K28" i="9"/>
  <c r="A28" i="9"/>
  <c r="Q27" i="9"/>
  <c r="P27" i="9"/>
  <c r="P44" i="9" s="1"/>
  <c r="O27" i="9"/>
  <c r="M27" i="9"/>
  <c r="K27" i="9"/>
  <c r="K44" i="9" s="1"/>
  <c r="A27" i="9"/>
  <c r="M26" i="9"/>
  <c r="K26" i="9"/>
  <c r="J26" i="9"/>
  <c r="I26" i="9"/>
  <c r="F26" i="9"/>
  <c r="E26" i="9"/>
  <c r="Q24" i="9"/>
  <c r="P24" i="9" s="1"/>
  <c r="O24" i="9"/>
  <c r="L24" i="9"/>
  <c r="A24" i="9"/>
  <c r="Q23" i="9"/>
  <c r="P23" i="9"/>
  <c r="O23" i="9"/>
  <c r="L23" i="9"/>
  <c r="A23" i="9"/>
  <c r="Q22" i="9"/>
  <c r="P22" i="9" s="1"/>
  <c r="O22" i="9"/>
  <c r="L22" i="9"/>
  <c r="A22" i="9"/>
  <c r="Q21" i="9"/>
  <c r="P21" i="9" s="1"/>
  <c r="O21" i="9"/>
  <c r="L21" i="9"/>
  <c r="A21" i="9"/>
  <c r="Q20" i="9"/>
  <c r="P20" i="9" s="1"/>
  <c r="O20" i="9"/>
  <c r="L20" i="9"/>
  <c r="A20" i="9"/>
  <c r="Q19" i="9"/>
  <c r="P19" i="9"/>
  <c r="O19" i="9"/>
  <c r="O26" i="9" s="1"/>
  <c r="L19" i="9"/>
  <c r="A19" i="9"/>
  <c r="Q18" i="9"/>
  <c r="P18" i="9" s="1"/>
  <c r="O18" i="9"/>
  <c r="L18" i="9"/>
  <c r="A18" i="9"/>
  <c r="Q17" i="9"/>
  <c r="P17" i="9" s="1"/>
  <c r="O17" i="9"/>
  <c r="L17" i="9"/>
  <c r="L26" i="9" s="1"/>
  <c r="A17" i="9"/>
  <c r="J16" i="9"/>
  <c r="F16" i="9"/>
  <c r="Q14" i="9"/>
  <c r="O14" i="9" s="1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 s="1"/>
  <c r="P11" i="9"/>
  <c r="L11" i="9"/>
  <c r="A11" i="9"/>
  <c r="Q10" i="9"/>
  <c r="O10" i="9" s="1"/>
  <c r="P10" i="9"/>
  <c r="P16" i="9" s="1"/>
  <c r="L10" i="9"/>
  <c r="L16" i="9" s="1"/>
  <c r="A10" i="9"/>
  <c r="N9" i="9"/>
  <c r="N16" i="9" s="1"/>
  <c r="J9" i="9"/>
  <c r="G9" i="9"/>
  <c r="G16" i="9" s="1"/>
  <c r="G26" i="9" s="1"/>
  <c r="F9" i="9"/>
  <c r="Q7" i="9"/>
  <c r="P7" i="9" s="1"/>
  <c r="O7" i="9"/>
  <c r="L7" i="9"/>
  <c r="A7" i="9"/>
  <c r="Q6" i="9"/>
  <c r="P6" i="9" s="1"/>
  <c r="O6" i="9"/>
  <c r="L6" i="9"/>
  <c r="L9" i="9" s="1"/>
  <c r="A6" i="9"/>
  <c r="Q5" i="9"/>
  <c r="P5" i="9"/>
  <c r="O5" i="9"/>
  <c r="L5" i="9"/>
  <c r="A5" i="9"/>
  <c r="Q4" i="9"/>
  <c r="P4" i="9" s="1"/>
  <c r="O4" i="9"/>
  <c r="O9" i="9" s="1"/>
  <c r="L4" i="9"/>
  <c r="A4" i="9"/>
  <c r="O9" i="11" l="1"/>
  <c r="L10" i="12"/>
  <c r="L11" i="12"/>
  <c r="L21" i="12" s="1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 s="1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 s="1"/>
  <c r="M29" i="11"/>
  <c r="M31" i="11"/>
  <c r="M33" i="11"/>
  <c r="M35" i="11"/>
  <c r="M37" i="11"/>
  <c r="M39" i="11"/>
  <c r="O39" i="12" l="1"/>
  <c r="M39" i="12"/>
  <c r="M43" i="10"/>
  <c r="B60" i="5" l="1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 l="1"/>
  <c r="R25" i="5" s="1"/>
  <c r="R158" i="5" l="1"/>
  <c r="R4" i="5"/>
  <c r="A4" i="5" l="1"/>
  <c r="E17" i="2" s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F13" i="2" l="1"/>
  <c r="C24" i="7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21" i="7"/>
  <c r="C8" i="6" l="1"/>
  <c r="H10" i="6"/>
  <c r="C18" i="6"/>
  <c r="F11" i="2"/>
  <c r="C14" i="6"/>
  <c r="E16" i="2"/>
  <c r="C12" i="6"/>
  <c r="C23" i="6"/>
  <c r="C16" i="6"/>
  <c r="N22" i="6"/>
  <c r="A1" i="6"/>
  <c r="O22" i="6"/>
  <c r="C20" i="6"/>
  <c r="B5" i="5" l="1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6" i="5"/>
  <c r="B157" i="5"/>
  <c r="B4" i="5"/>
  <c r="A1" i="2"/>
  <c r="K8" i="2"/>
  <c r="L8" i="2"/>
  <c r="E7" i="2"/>
  <c r="F9" i="4"/>
  <c r="F9" i="2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3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4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<sst xmlns="http://schemas.openxmlformats.org/spreadsheetml/2006/main" count="1757" uniqueCount="439">
  <si>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</si>
  <si>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</si>
  <si>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</si>
  <si>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</si>
  <si>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</si>
  <si>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</si>
  <si>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</si>
  <si>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</si>
  <si>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</si>
  <si>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</si>
  <si>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</si>
  <si>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</si>
  <si>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</si>
  <si>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</si>
  <si>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</si>
  <si>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</si>
  <si>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</si>
  <si>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</si>
  <si>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</si>
  <si>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</si>
  <si>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</si>
  <si>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</si>
  <si>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</si>
  <si>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</si>
  <si>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</si>
  <si>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</si>
  <si>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</si>
  <si>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</si>
  <si>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</si>
  <si>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</si>
  <si>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</si>
  <si>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</si>
  <si>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</si>
  <si>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</si>
  <si>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</si>
  <si>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</si>
  <si>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</si>
  <si>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</si>
  <si>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</si>
  <si>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</si>
  <si>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</si>
  <si>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</si>
  <si>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</si>
  <si>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</si>
  <si>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</si>
  <si>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</si>
  <si>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</si>
  <si>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</si>
  <si>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</si>
  <si>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</si>
  <si>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</si>
  <si>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</si>
  <si>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</si>
  <si>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</si>
  <si>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</si>
  <si>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</si>
  <si>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</si>
  <si>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</si>
  <si>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</si>
  <si>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</si>
  <si>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</si>
  <si>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</si>
  <si>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</si>
  <si>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</si>
  <si>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</si>
  <si>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</si>
  <si>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</si>
  <si>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</si>
  <si>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</si>
  <si>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</si>
  <si>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</si>
  <si>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</si>
  <si>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</si>
  <si>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</si>
  <si>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</si>
  <si>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</si>
  <si>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</si>
  <si>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</si>
  <si>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</si>
  <si>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</si>
  <si>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</si>
  <si>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</si>
  <si>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</si>
  <si>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</si>
  <si>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</si>
  <si>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</si>
  <si>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</si>
  <si>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</si>
  <si>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</si>
  <si>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</si>
  <si>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</si>
  <si>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</si>
  <si>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</si>
  <si>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</si>
  <si>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</si>
  <si>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</si>
  <si>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</si>
  <si>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</si>
  <si>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</si>
  <si>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</si>
  <si>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</si>
  <si>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</si>
  <si>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</si>
  <si>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</si>
  <si>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</si>
  <si>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</si>
  <si>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</si>
  <si>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</si>
  <si>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</si>
  <si>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</si>
  <si>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</si>
  <si>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</si>
  <si>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</si>
  <si>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</si>
  <si>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</si>
  <si>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</si>
  <si>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</si>
  <si>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</si>
  <si>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</si>
  <si>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</si>
  <si>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</si>
  <si>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</si>
  <si>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</si>
  <si>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</si>
  <si>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</si>
  <si>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</si>
  <si>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</si>
  <si>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</si>
  <si>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</si>
  <si>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</si>
  <si>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</si>
  <si>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</si>
  <si>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</si>
  <si>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</si>
  <si>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</si>
  <si>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</si>
  <si>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</si>
  <si>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</si>
  <si>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</si>
  <si>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</si>
  <si>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</si>
  <si>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</si>
  <si>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</si>
  <si>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</si>
  <si>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</si>
  <si>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</si>
  <si>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</si>
  <si>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</si>
  <si>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</si>
  <si>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</si>
  <si>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</si>
  <si>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</si>
  <si>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</si>
  <si>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</si>
  <si>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</si>
  <si>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</si>
  <si>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</si>
  <si>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</si>
  <si>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</si>
  <si>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</si>
  <si>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</si>
  <si>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</si>
  <si>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</si>
  <si>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</si>
  <si>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</si>
  <si>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</si>
  <si>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</si>
  <si>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</si>
  <si>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</si>
  <si>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</si>
  <si>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</si>
  <si>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</si>
  <si>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</si>
  <si>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</si>
  <si>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</si>
  <si>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</si>
  <si>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</si>
  <si>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</si>
  <si>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</si>
  <si>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</si>
  <si>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</si>
  <si>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</si>
  <si>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</si>
  <si>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</si>
  <si>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</si>
  <si>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</si>
  <si>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</si>
  <si>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</si>
  <si>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</si>
  <si>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</si>
  <si>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</si>
  <si>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</si>
  <si>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</si>
  <si>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</si>
  <si>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</si>
  <si>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</si>
  <si>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</si>
  <si>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</si>
  <si>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</si>
  <si>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</si>
  <si>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</si>
  <si>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</si>
  <si>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</si>
  <si>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</si>
  <si>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</si>
  <si>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</si>
  <si>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</si>
  <si>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</si>
  <si>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</si>
  <si>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</si>
  <si>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</si>
  <si>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</si>
  <si>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</si>
  <si>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</si>
  <si>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</si>
  <si>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</si>
  <si>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</si>
  <si>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</si>
  <si>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</si>
  <si>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</si>
  <si>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</si>
  <si>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</si>
  <si>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</si>
  <si>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</si>
  <si>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</si>
  <si>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</si>
  <si>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</si>
  <si>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</si>
  <si>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</si>
  <si>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</si>
  <si>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</si>
  <si>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</si>
  <si>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</si>
  <si>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</si>
  <si>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</si>
  <si>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</si>
  <si>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</si>
  <si>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</si>
  <si>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</si>
  <si>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</si>
  <si>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</si>
  <si>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</si>
  <si>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</si>
  <si>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</si>
  <si>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</si>
  <si>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</si>
  <si>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</si>
  <si>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</si>
  <si>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</si>
  <si>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</si>
  <si>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</si>
  <si>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</si>
  <si>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</si>
  <si>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</si>
  <si>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</si>
  <si>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</si>
  <si>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</si>
  <si>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</si>
  <si>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</si>
  <si>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</si>
  <si>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</si>
  <si>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</si>
  <si>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</si>
  <si>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</si>
  <si>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</si>
  <si>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</si>
  <si>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</si>
  <si>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</si>
  <si>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</si>
  <si>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</si>
  <si>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</si>
  <si>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</si>
  <si>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</si>
  <si>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</si>
  <si>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</si>
  <si>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</si>
  <si>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</si>
  <si>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</si>
  <si>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</si>
  <si>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</si>
  <si>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</si>
  <si>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</si>
  <si>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</si>
  <si>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</si>
  <si>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</si>
  <si>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</si>
  <si>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</si>
  <si>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</si>
  <si>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</si>
  <si>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</si>
  <si>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</si>
  <si>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</si>
  <si>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</si>
  <si>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</si>
  <si>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</si>
  <si>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</si>
  <si>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</si>
  <si>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</si>
  <si>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</si>
  <si>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</si>
  <si>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</si>
  <si>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</si>
  <si>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</si>
  <si>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</si>
  <si>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</si>
  <si>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</si>
  <si>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</si>
  <si>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</si>
  <si>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</si>
  <si>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</si>
  <si>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</si>
  <si>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</si>
  <si>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</si>
  <si>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</si>
  <si>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</si>
  <si>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</si>
  <si>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</si>
  <si>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</si>
  <si>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</si>
  <si>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</si>
  <si>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</si>
  <si>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</si>
  <si>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</si>
  <si>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</si>
  <si>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</si>
  <si>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</si>
  <si>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</si>
  <si>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</si>
  <si>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</si>
  <si>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</si>
  <si>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</si>
  <si>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</si>
  <si>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</si>
  <si>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</si>
  <si>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</si>
  <si>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</si>
  <si>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</si>
  <si>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</si>
  <si>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</si>
  <si>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</si>
  <si>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</si>
  <si>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</si>
  <si>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</si>
  <si>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</si>
  <si>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</si>
  <si>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</si>
  <si>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</si>
  <si>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</si>
  <si>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</si>
  <si>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</si>
  <si>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</si>
  <si>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</si>
  <si>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</si>
  <si>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</si>
  <si>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</si>
  <si>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</si>
  <si>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</si>
  <si>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</si>
  <si>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</si>
  <si>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</si>
  <si>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</si>
  <si>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</si>
  <si>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</si>
  <si>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</si>
  <si>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</si>
  <si>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</si>
  <si>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</si>
  <si>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</si>
  <si>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</si>
  <si>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</si>
  <si>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</si>
  <si>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</si>
  <si>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</si>
  <si>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</si>
  <si>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</si>
  <si>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</si>
  <si>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</si>
  <si>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</si>
  <si>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</si>
  <si>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</si>
  <si>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</si>
  <si>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</si>
  <si>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</si>
  <si>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</si>
  <si>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</si>
  <si>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</si>
  <si>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</si>
  <si>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</si>
  <si>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</si>
  <si>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</si>
  <si>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</si>
  <si>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</si>
  <si>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</si>
  <si>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</si>
  <si>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</si>
  <si>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</si>
  <si>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</si>
  <si>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</si>
  <si>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</si>
  <si>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</si>
  <si>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</si>
  <si>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</si>
  <si>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</si>
  <si>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</si>
  <si>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</si>
  <si>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</si>
  <si>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</si>
  <si>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</si>
  <si>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</si>
  <si>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</si>
  <si>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</si>
  <si>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</si>
  <si>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</si>
  <si>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</si>
  <si>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</si>
  <si>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</si>
  <si>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</si>
  <si>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</si>
  <si>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</si>
  <si>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</si>
  <si>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</si>
  <si>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</si>
  <si>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LC- Say.D.S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</si>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</sst>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8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58"/>
  <sheetViews>
    <sheetView topLeftCell="B1" workbookViewId="0">
      <pane xSplit="5" ySplit="3" topLeftCell="G121" activePane="bottomRight" state="frozen"/>
      <selection activeCell="B1" sqref="B1"/>
      <selection pane="topRight" activeCell="G1" sqref="G1"/>
      <selection pane="bottomLeft" activeCell="B4" sqref="B4"/>
      <selection pane="bottomRight" activeCell="J130" sqref="J130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0.42578125" style="57" customWidth="1"/>
    <col min="16" max="16" width="14" style="57" customWidth="1"/>
    <col min="17" max="17" width="9.140625" style="105"/>
    <col min="18" max="18" width="4.42578125" style="255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64" t="s">
        <v>1</v>
      </c>
      <c r="C2" s="261" t="s">
        <v>12</v>
      </c>
      <c r="D2" s="262"/>
      <c r="E2" s="263"/>
      <c r="F2" s="261" t="s">
        <v>20</v>
      </c>
      <c r="G2" s="262"/>
      <c r="H2" s="262"/>
      <c r="I2" s="262"/>
      <c r="J2" s="262"/>
      <c r="K2" s="262"/>
      <c r="L2" s="262"/>
      <c r="M2" s="263"/>
      <c r="N2" s="256" t="s">
        <v>0</v>
      </c>
      <c r="O2" s="260" t="s">
        <v>21</v>
      </c>
      <c r="P2" s="260"/>
      <c r="Q2" s="258" t="s">
        <v>22</v>
      </c>
      <c r="R2" s="58"/>
    </row>
    <row r="3" spans="1:18" s="59" customFormat="1" ht="36.75" customHeight="1">
      <c r="A3" s="58"/>
      <c r="B3" s="257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57"/>
      <c r="O3" s="61" t="s">
        <v>28</v>
      </c>
      <c r="P3" s="61" t="s">
        <v>29</v>
      </c>
      <c r="Q3" s="259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55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57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55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55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55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55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55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55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55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55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55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55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55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55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55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55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55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55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55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55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55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55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55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55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55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55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55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55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55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55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55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55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55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55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55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55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55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55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55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55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55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55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55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55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55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55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55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55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55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55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55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55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55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329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55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55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55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351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340</v>
      </c>
      <c r="O59" s="68"/>
      <c r="P59" s="69">
        <v>22821810</v>
      </c>
      <c r="Q59" s="114" t="s">
        <v>195</v>
      </c>
      <c r="R59" s="255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352</v>
      </c>
      <c r="O60" s="68"/>
      <c r="P60" s="69">
        <v>24068550</v>
      </c>
      <c r="Q60" s="104" t="s">
        <v>194</v>
      </c>
      <c r="R60" s="255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354</v>
      </c>
      <c r="O61" s="68"/>
      <c r="P61" s="69">
        <v>21641290</v>
      </c>
      <c r="Q61" s="104" t="s">
        <v>194</v>
      </c>
      <c r="R61" s="255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356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355</v>
      </c>
      <c r="O62" s="68"/>
      <c r="P62" s="69">
        <v>1663000</v>
      </c>
      <c r="Q62" s="104" t="s">
        <v>194</v>
      </c>
      <c r="R62" s="255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357</v>
      </c>
      <c r="O63" s="68"/>
      <c r="P63" s="69">
        <v>27700000</v>
      </c>
      <c r="Q63" s="104" t="s">
        <v>194</v>
      </c>
      <c r="R63" s="255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55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358</v>
      </c>
      <c r="O65" s="68"/>
      <c r="P65" s="69">
        <f>41688680+46359940</f>
        <v>88048620</v>
      </c>
      <c r="Q65" s="104" t="s">
        <v>194</v>
      </c>
      <c r="R65" s="255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360</v>
      </c>
      <c r="G66" s="64" t="s">
        <v>361</v>
      </c>
      <c r="H66" s="64" t="s">
        <v>362</v>
      </c>
      <c r="I66" s="65" t="s">
        <v>363</v>
      </c>
      <c r="J66" s="66"/>
      <c r="K66" s="67"/>
      <c r="L66" s="65"/>
      <c r="M66" s="65"/>
      <c r="N66" s="64" t="s">
        <v>359</v>
      </c>
      <c r="O66" s="68"/>
      <c r="P66" s="69">
        <v>100000000</v>
      </c>
      <c r="Q66" s="114" t="s">
        <v>195</v>
      </c>
      <c r="R66" s="255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364</v>
      </c>
      <c r="O67" s="68"/>
      <c r="P67" s="69">
        <v>24156880</v>
      </c>
      <c r="Q67" s="104" t="s">
        <v>194</v>
      </c>
      <c r="R67" s="255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365</v>
      </c>
      <c r="G68" s="64" t="s">
        <v>367</v>
      </c>
      <c r="H68" s="64" t="s">
        <v>366</v>
      </c>
      <c r="I68" s="106" t="s">
        <v>10</v>
      </c>
      <c r="J68" s="66"/>
      <c r="K68" s="67"/>
      <c r="L68" s="65"/>
      <c r="M68" s="65"/>
      <c r="N68" s="64" t="s">
        <v>368</v>
      </c>
      <c r="O68" s="68"/>
      <c r="P68" s="69">
        <v>873400</v>
      </c>
      <c r="Q68" s="104" t="s">
        <v>194</v>
      </c>
      <c r="R68" s="255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41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33">
        <f t="shared" ref="B69:B78" si="3">IF(C69&lt;&gt;"",ROW()-3,"")</f>
        <v>66</v>
      </c>
      <c r="C69" s="233" t="s">
        <v>145</v>
      </c>
      <c r="D69" s="234">
        <v>42650</v>
      </c>
      <c r="E69" s="233" t="s">
        <v>23</v>
      </c>
      <c r="F69" s="236" t="s">
        <v>365</v>
      </c>
      <c r="G69" s="236" t="s">
        <v>367</v>
      </c>
      <c r="H69" s="236" t="s">
        <v>366</v>
      </c>
      <c r="I69" s="233" t="s">
        <v>10</v>
      </c>
      <c r="J69" s="237"/>
      <c r="K69" s="234"/>
      <c r="L69" s="235"/>
      <c r="M69" s="235"/>
      <c r="N69" s="236" t="s">
        <v>369</v>
      </c>
      <c r="O69" s="238"/>
      <c r="P69" s="239">
        <f>13197880-P68</f>
        <v>12324480</v>
      </c>
      <c r="Q69" s="240" t="s">
        <v>194</v>
      </c>
      <c r="R69" s="255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41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33">
        <f t="shared" si="3"/>
        <v>67</v>
      </c>
      <c r="C70" s="233" t="s">
        <v>145</v>
      </c>
      <c r="D70" s="234">
        <v>42650</v>
      </c>
      <c r="E70" s="233" t="s">
        <v>24</v>
      </c>
      <c r="F70" s="236" t="s">
        <v>370</v>
      </c>
      <c r="G70" s="236" t="s">
        <v>371</v>
      </c>
      <c r="H70" s="236" t="s">
        <v>372</v>
      </c>
      <c r="I70" s="233" t="s">
        <v>10</v>
      </c>
      <c r="J70" s="237"/>
      <c r="K70" s="234"/>
      <c r="L70" s="235"/>
      <c r="M70" s="235"/>
      <c r="N70" s="236" t="s">
        <v>373</v>
      </c>
      <c r="O70" s="238"/>
      <c r="P70" s="239">
        <f>51480000+51700000</f>
        <v>103180000</v>
      </c>
      <c r="Q70" s="240" t="s">
        <v>194</v>
      </c>
      <c r="R70" s="255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33" t="s">
        <v>145</v>
      </c>
      <c r="D71" s="234">
        <v>42650</v>
      </c>
      <c r="E71" s="233" t="s">
        <v>25</v>
      </c>
      <c r="F71" s="64" t="s">
        <v>360</v>
      </c>
      <c r="G71" s="64" t="s">
        <v>361</v>
      </c>
      <c r="H71" s="64" t="s">
        <v>362</v>
      </c>
      <c r="I71" s="65" t="s">
        <v>363</v>
      </c>
      <c r="J71" s="66"/>
      <c r="K71" s="67"/>
      <c r="L71" s="65"/>
      <c r="M71" s="65"/>
      <c r="N71" s="64" t="s">
        <v>359</v>
      </c>
      <c r="O71" s="68"/>
      <c r="P71" s="69">
        <v>98056855</v>
      </c>
      <c r="Q71" s="240" t="s">
        <v>194</v>
      </c>
      <c r="R71" s="255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33" t="s">
        <v>145</v>
      </c>
      <c r="D72" s="234">
        <v>42650</v>
      </c>
      <c r="E72" s="233" t="s">
        <v>26</v>
      </c>
      <c r="F72" s="236" t="s">
        <v>347</v>
      </c>
      <c r="G72" s="236" t="s">
        <v>348</v>
      </c>
      <c r="H72" s="236" t="s">
        <v>349</v>
      </c>
      <c r="I72" s="235" t="s">
        <v>10</v>
      </c>
      <c r="J72" s="237"/>
      <c r="K72" s="234"/>
      <c r="L72" s="235"/>
      <c r="M72" s="235"/>
      <c r="N72" s="236" t="s">
        <v>350</v>
      </c>
      <c r="O72" s="238"/>
      <c r="P72" s="239">
        <v>84566900</v>
      </c>
      <c r="Q72" s="240" t="s">
        <v>194</v>
      </c>
      <c r="R72" s="255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33" t="s">
        <v>145</v>
      </c>
      <c r="D73" s="234">
        <v>42650</v>
      </c>
      <c r="E73" s="233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40" t="s">
        <v>194</v>
      </c>
      <c r="R73" s="255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33" t="s">
        <v>145</v>
      </c>
      <c r="D74" s="234">
        <v>42650</v>
      </c>
      <c r="E74" s="233" t="s">
        <v>85</v>
      </c>
      <c r="F74" s="108" t="s">
        <v>132</v>
      </c>
      <c r="G74" s="108" t="s">
        <v>329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40" t="s">
        <v>194</v>
      </c>
      <c r="R74" s="255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33" t="s">
        <v>104</v>
      </c>
      <c r="D75" s="234">
        <v>42650</v>
      </c>
      <c r="E75" s="233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55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33" t="s">
        <v>104</v>
      </c>
      <c r="D76" s="234">
        <v>42650</v>
      </c>
      <c r="E76" s="233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55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33" t="s">
        <v>104</v>
      </c>
      <c r="D77" s="234">
        <v>42650</v>
      </c>
      <c r="E77" s="233" t="s">
        <v>25</v>
      </c>
      <c r="F77" s="64" t="s">
        <v>374</v>
      </c>
      <c r="G77" s="64" t="s">
        <v>375</v>
      </c>
      <c r="H77" s="64" t="s">
        <v>376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55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33" t="s">
        <v>104</v>
      </c>
      <c r="D78" s="234">
        <v>42650</v>
      </c>
      <c r="E78" s="233" t="s">
        <v>26</v>
      </c>
      <c r="F78" s="64" t="s">
        <v>377</v>
      </c>
      <c r="G78" s="64" t="s">
        <v>378</v>
      </c>
      <c r="H78" s="64" t="s">
        <v>379</v>
      </c>
      <c r="I78" s="106" t="s">
        <v>10</v>
      </c>
      <c r="J78" s="66"/>
      <c r="K78" s="67"/>
      <c r="L78" s="65"/>
      <c r="M78" s="65"/>
      <c r="N78" s="64" t="s">
        <v>380</v>
      </c>
      <c r="O78" s="68"/>
      <c r="P78" s="69">
        <v>199632000</v>
      </c>
      <c r="Q78" s="114" t="s">
        <v>195</v>
      </c>
      <c r="R78" s="255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33" t="s">
        <v>104</v>
      </c>
      <c r="D79" s="234">
        <v>42650</v>
      </c>
      <c r="E79" s="233" t="s">
        <v>84</v>
      </c>
      <c r="F79" s="64" t="s">
        <v>381</v>
      </c>
      <c r="G79" s="64" t="s">
        <v>382</v>
      </c>
      <c r="H79" s="64" t="s">
        <v>383</v>
      </c>
      <c r="I79" s="106" t="s">
        <v>10</v>
      </c>
      <c r="J79" s="66"/>
      <c r="K79" s="67"/>
      <c r="L79" s="65"/>
      <c r="M79" s="65"/>
      <c r="N79" s="64" t="s">
        <v>384</v>
      </c>
      <c r="O79" s="68"/>
      <c r="P79" s="69">
        <v>94100000</v>
      </c>
      <c r="Q79" s="114" t="s">
        <v>195</v>
      </c>
      <c r="R79" s="255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33" t="s">
        <v>104</v>
      </c>
      <c r="D80" s="234">
        <v>42650</v>
      </c>
      <c r="E80" s="233" t="s">
        <v>85</v>
      </c>
      <c r="F80" s="64" t="s">
        <v>385</v>
      </c>
      <c r="G80" s="64" t="s">
        <v>386</v>
      </c>
      <c r="H80" s="64" t="s">
        <v>387</v>
      </c>
      <c r="I80" s="111" t="s">
        <v>161</v>
      </c>
      <c r="J80" s="66"/>
      <c r="K80" s="67"/>
      <c r="L80" s="65"/>
      <c r="M80" s="65"/>
      <c r="N80" s="64" t="s">
        <v>388</v>
      </c>
      <c r="O80" s="68"/>
      <c r="P80" s="69">
        <v>25850000</v>
      </c>
      <c r="Q80" s="114" t="s">
        <v>195</v>
      </c>
      <c r="R80" s="255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33" t="s">
        <v>104</v>
      </c>
      <c r="D81" s="234">
        <v>42650</v>
      </c>
      <c r="E81" s="233" t="s">
        <v>172</v>
      </c>
      <c r="F81" s="64" t="s">
        <v>389</v>
      </c>
      <c r="G81" s="64" t="s">
        <v>390</v>
      </c>
      <c r="H81" s="64" t="s">
        <v>391</v>
      </c>
      <c r="I81" s="111" t="s">
        <v>161</v>
      </c>
      <c r="J81" s="66"/>
      <c r="K81" s="67"/>
      <c r="L81" s="65"/>
      <c r="M81" s="65"/>
      <c r="N81" s="64" t="s">
        <v>393</v>
      </c>
      <c r="O81" s="68"/>
      <c r="P81" s="69">
        <v>100000000</v>
      </c>
      <c r="Q81" s="114" t="s">
        <v>195</v>
      </c>
      <c r="R81" s="255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34">
        <v>42651</v>
      </c>
      <c r="E82" s="233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40" t="s">
        <v>194</v>
      </c>
      <c r="R82" s="255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33" t="s">
        <v>23</v>
      </c>
      <c r="F83" s="64" t="s">
        <v>385</v>
      </c>
      <c r="G83" s="64" t="s">
        <v>386</v>
      </c>
      <c r="H83" s="64" t="s">
        <v>387</v>
      </c>
      <c r="I83" s="111" t="s">
        <v>161</v>
      </c>
      <c r="J83" s="66"/>
      <c r="K83" s="67"/>
      <c r="L83" s="65"/>
      <c r="M83" s="65"/>
      <c r="N83" s="64" t="s">
        <v>388</v>
      </c>
      <c r="O83" s="68"/>
      <c r="P83" s="69">
        <v>49232000</v>
      </c>
      <c r="Q83" s="114" t="s">
        <v>195</v>
      </c>
      <c r="R83" s="255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33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392</v>
      </c>
      <c r="O84" s="68"/>
      <c r="P84" s="69">
        <v>21023640</v>
      </c>
      <c r="Q84" s="240" t="s">
        <v>194</v>
      </c>
      <c r="R84" s="255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33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394</v>
      </c>
      <c r="O85" s="68"/>
      <c r="P85" s="69">
        <v>16302356</v>
      </c>
      <c r="Q85" s="240" t="s">
        <v>194</v>
      </c>
      <c r="R85" s="255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33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395</v>
      </c>
      <c r="O86" s="68"/>
      <c r="P86" s="69">
        <v>20797260</v>
      </c>
      <c r="Q86" s="240" t="s">
        <v>194</v>
      </c>
      <c r="R86" s="255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33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40" t="s">
        <v>194</v>
      </c>
      <c r="R87" s="255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33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40" t="s">
        <v>194</v>
      </c>
      <c r="R88" s="255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33" t="s">
        <v>23</v>
      </c>
      <c r="F89" s="64" t="s">
        <v>396</v>
      </c>
      <c r="G89" s="64" t="s">
        <v>397</v>
      </c>
      <c r="H89" s="64" t="s">
        <v>399</v>
      </c>
      <c r="I89" s="106" t="s">
        <v>10</v>
      </c>
      <c r="J89" s="66"/>
      <c r="K89" s="67"/>
      <c r="L89" s="65"/>
      <c r="M89" s="65"/>
      <c r="N89" s="64" t="s">
        <v>398</v>
      </c>
      <c r="O89" s="68"/>
      <c r="P89" s="69">
        <v>42930000</v>
      </c>
      <c r="Q89" s="240" t="s">
        <v>194</v>
      </c>
      <c r="R89" s="255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33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40" t="s">
        <v>194</v>
      </c>
      <c r="R90" s="255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33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40" t="s">
        <v>194</v>
      </c>
      <c r="R91" s="255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33" t="s">
        <v>25</v>
      </c>
      <c r="F92" s="64" t="s">
        <v>400</v>
      </c>
      <c r="G92" s="64" t="s">
        <v>401</v>
      </c>
      <c r="H92" s="64" t="s">
        <v>402</v>
      </c>
      <c r="I92" s="62" t="s">
        <v>10</v>
      </c>
      <c r="J92" s="66"/>
      <c r="K92" s="67"/>
      <c r="L92" s="65"/>
      <c r="M92" s="65"/>
      <c r="N92" s="64" t="s">
        <v>403</v>
      </c>
      <c r="O92" s="68"/>
      <c r="P92" s="69">
        <v>10803694</v>
      </c>
      <c r="Q92" s="240" t="s">
        <v>194</v>
      </c>
      <c r="R92" s="255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33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40" t="s">
        <v>194</v>
      </c>
      <c r="R93" s="255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33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40" t="s">
        <v>194</v>
      </c>
      <c r="R94" s="255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33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405</v>
      </c>
      <c r="O95" s="68"/>
      <c r="P95" s="69">
        <f>42659320+37594590</f>
        <v>80253910</v>
      </c>
      <c r="Q95" s="240" t="s">
        <v>194</v>
      </c>
      <c r="R95" s="255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33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404</v>
      </c>
      <c r="O96" s="68"/>
      <c r="P96" s="69">
        <v>24338820</v>
      </c>
      <c r="Q96" s="240" t="s">
        <v>194</v>
      </c>
      <c r="R96" s="255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33" t="s">
        <v>25</v>
      </c>
      <c r="F97" s="108" t="s">
        <v>132</v>
      </c>
      <c r="G97" s="108" t="s">
        <v>406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40" t="s">
        <v>194</v>
      </c>
      <c r="R97" s="255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33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40" t="s">
        <v>194</v>
      </c>
      <c r="R98" s="255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33" t="s">
        <v>23</v>
      </c>
      <c r="F99" s="236" t="s">
        <v>370</v>
      </c>
      <c r="G99" s="236" t="s">
        <v>371</v>
      </c>
      <c r="H99" s="236" t="s">
        <v>372</v>
      </c>
      <c r="I99" s="233" t="s">
        <v>10</v>
      </c>
      <c r="J99" s="237"/>
      <c r="K99" s="234"/>
      <c r="L99" s="235"/>
      <c r="M99" s="235"/>
      <c r="N99" s="236" t="s">
        <v>373</v>
      </c>
      <c r="O99" s="238"/>
      <c r="P99" s="69">
        <f>51480000*2</f>
        <v>102960000</v>
      </c>
      <c r="Q99" s="240" t="s">
        <v>194</v>
      </c>
      <c r="R99" s="255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33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40" t="s">
        <v>194</v>
      </c>
      <c r="R100" s="255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33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40" t="s">
        <v>194</v>
      </c>
      <c r="R101" s="255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33" t="s">
        <v>26</v>
      </c>
      <c r="F102" s="64" t="s">
        <v>407</v>
      </c>
      <c r="G102" s="64" t="s">
        <v>408</v>
      </c>
      <c r="H102" s="64" t="s">
        <v>409</v>
      </c>
      <c r="I102" s="111" t="s">
        <v>161</v>
      </c>
      <c r="J102" s="66"/>
      <c r="K102" s="67"/>
      <c r="L102" s="65"/>
      <c r="M102" s="65"/>
      <c r="N102" s="64" t="s">
        <v>410</v>
      </c>
      <c r="O102" s="68"/>
      <c r="P102" s="69">
        <v>10035666</v>
      </c>
      <c r="Q102" s="240" t="s">
        <v>194</v>
      </c>
      <c r="R102" s="255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33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40" t="s">
        <v>194</v>
      </c>
      <c r="R103" s="255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33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40" t="s">
        <v>194</v>
      </c>
      <c r="R104" s="255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33" t="s">
        <v>172</v>
      </c>
      <c r="F105" s="64" t="s">
        <v>360</v>
      </c>
      <c r="G105" s="64" t="s">
        <v>361</v>
      </c>
      <c r="H105" s="64" t="s">
        <v>362</v>
      </c>
      <c r="I105" s="65" t="s">
        <v>363</v>
      </c>
      <c r="J105" s="66"/>
      <c r="K105" s="67"/>
      <c r="L105" s="65"/>
      <c r="M105" s="65"/>
      <c r="N105" s="64" t="s">
        <v>359</v>
      </c>
      <c r="O105" s="68"/>
      <c r="P105" s="69">
        <v>100000000</v>
      </c>
      <c r="Q105" s="240" t="s">
        <v>194</v>
      </c>
      <c r="R105" s="255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33" t="s">
        <v>222</v>
      </c>
      <c r="F106" s="64" t="s">
        <v>411</v>
      </c>
      <c r="G106" s="64" t="s">
        <v>412</v>
      </c>
      <c r="H106" s="64" t="s">
        <v>413</v>
      </c>
      <c r="I106" s="106" t="s">
        <v>10</v>
      </c>
      <c r="J106" s="66"/>
      <c r="K106" s="67"/>
      <c r="L106" s="65"/>
      <c r="M106" s="65"/>
      <c r="N106" s="64" t="s">
        <v>414</v>
      </c>
      <c r="O106" s="68"/>
      <c r="P106" s="69">
        <v>29656000</v>
      </c>
      <c r="Q106" s="240" t="s">
        <v>194</v>
      </c>
      <c r="R106" s="255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33" t="s">
        <v>23</v>
      </c>
      <c r="F107" s="108" t="s">
        <v>132</v>
      </c>
      <c r="G107" s="108" t="s">
        <v>406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40" t="s">
        <v>194</v>
      </c>
      <c r="R107" s="255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33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415</v>
      </c>
      <c r="O108" s="68"/>
      <c r="P108" s="69">
        <v>22634810</v>
      </c>
      <c r="Q108" s="240" t="s">
        <v>194</v>
      </c>
      <c r="R108" s="255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33" t="s">
        <v>25</v>
      </c>
      <c r="F109" s="64" t="s">
        <v>396</v>
      </c>
      <c r="G109" s="64" t="s">
        <v>397</v>
      </c>
      <c r="H109" s="64" t="s">
        <v>399</v>
      </c>
      <c r="I109" s="106" t="s">
        <v>10</v>
      </c>
      <c r="J109" s="66"/>
      <c r="K109" s="67"/>
      <c r="L109" s="65"/>
      <c r="M109" s="65"/>
      <c r="N109" s="64" t="s">
        <v>416</v>
      </c>
      <c r="O109" s="68"/>
      <c r="P109" s="69">
        <v>100000000</v>
      </c>
      <c r="Q109" s="240" t="s">
        <v>194</v>
      </c>
      <c r="R109" s="255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33" t="s">
        <v>23</v>
      </c>
      <c r="F110" s="64" t="s">
        <v>423</v>
      </c>
      <c r="G110" s="64" t="s">
        <v>424</v>
      </c>
      <c r="H110" s="64" t="s">
        <v>425</v>
      </c>
      <c r="I110" s="65" t="s">
        <v>426</v>
      </c>
      <c r="J110" s="66"/>
      <c r="K110" s="67"/>
      <c r="L110" s="65"/>
      <c r="M110" s="65"/>
      <c r="N110" s="64" t="s">
        <v>427</v>
      </c>
      <c r="O110" s="68"/>
      <c r="P110" s="69">
        <v>4394000000</v>
      </c>
      <c r="Q110" s="240" t="s">
        <v>194</v>
      </c>
      <c r="R110" s="255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33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428</v>
      </c>
      <c r="O111" s="68"/>
      <c r="P111" s="69">
        <v>31233070</v>
      </c>
      <c r="Q111" s="240" t="s">
        <v>194</v>
      </c>
      <c r="R111" s="255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33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427</v>
      </c>
      <c r="O112" s="68"/>
      <c r="P112" s="69">
        <v>2250000000</v>
      </c>
      <c r="Q112" s="240" t="s">
        <v>194</v>
      </c>
      <c r="R112" s="255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33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40" t="s">
        <v>194</v>
      </c>
      <c r="R113" s="255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33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40" t="s">
        <v>194</v>
      </c>
      <c r="R114" s="255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33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429</v>
      </c>
      <c r="O115" s="68"/>
      <c r="P115" s="69">
        <v>810000</v>
      </c>
      <c r="Q115" s="240" t="s">
        <v>194</v>
      </c>
      <c r="R115" s="255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33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429</v>
      </c>
      <c r="O116" s="68"/>
      <c r="P116" s="69">
        <v>2230000</v>
      </c>
      <c r="Q116" s="240" t="s">
        <v>194</v>
      </c>
      <c r="R116" s="255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33" t="s">
        <v>23</v>
      </c>
      <c r="F117" s="64" t="s">
        <v>430</v>
      </c>
      <c r="G117" s="64" t="s">
        <v>431</v>
      </c>
      <c r="H117" s="64" t="s">
        <v>425</v>
      </c>
      <c r="I117" s="65" t="s">
        <v>426</v>
      </c>
      <c r="J117" s="66"/>
      <c r="K117" s="67"/>
      <c r="L117" s="65"/>
      <c r="M117" s="65"/>
      <c r="N117" s="108" t="s">
        <v>427</v>
      </c>
      <c r="O117" s="68"/>
      <c r="P117" s="69">
        <v>1441167000</v>
      </c>
      <c r="Q117" s="240" t="s">
        <v>194</v>
      </c>
      <c r="R117" s="255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29" si="7">IF(C118&lt;&gt;"",ROW()-3,"")</f>
        <v>115</v>
      </c>
      <c r="C118" s="62" t="s">
        <v>145</v>
      </c>
      <c r="D118" s="67">
        <v>42699</v>
      </c>
      <c r="E118" s="233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427</v>
      </c>
      <c r="O118" s="68"/>
      <c r="P118" s="69">
        <v>1319000000</v>
      </c>
      <c r="Q118" s="104" t="s">
        <v>195</v>
      </c>
      <c r="R118" s="255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33" t="s">
        <v>25</v>
      </c>
      <c r="F119" s="64" t="s">
        <v>432</v>
      </c>
      <c r="G119" s="64" t="s">
        <v>433</v>
      </c>
      <c r="H119" s="64" t="s">
        <v>436</v>
      </c>
      <c r="I119" s="65" t="s">
        <v>434</v>
      </c>
      <c r="J119" s="66"/>
      <c r="K119" s="67"/>
      <c r="L119" s="65"/>
      <c r="M119" s="65"/>
      <c r="N119" s="108" t="s">
        <v>427</v>
      </c>
      <c r="O119" s="68"/>
      <c r="P119" s="69">
        <v>541450000</v>
      </c>
      <c r="Q119" s="104" t="s">
        <v>195</v>
      </c>
      <c r="R119" s="255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33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435</v>
      </c>
      <c r="O120" s="68"/>
      <c r="P120" s="69">
        <v>3555000</v>
      </c>
      <c r="Q120" s="104" t="s">
        <v>195</v>
      </c>
      <c r="R120" s="255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33" t="s">
        <v>24</v>
      </c>
      <c r="F121" s="64" t="s">
        <v>430</v>
      </c>
      <c r="G121" s="64" t="s">
        <v>431</v>
      </c>
      <c r="H121" s="64" t="s">
        <v>425</v>
      </c>
      <c r="I121" s="65" t="s">
        <v>426</v>
      </c>
      <c r="J121" s="66"/>
      <c r="K121" s="67"/>
      <c r="L121" s="65"/>
      <c r="M121" s="65"/>
      <c r="N121" s="108" t="s">
        <v>427</v>
      </c>
      <c r="O121" s="68"/>
      <c r="P121" s="69">
        <v>1508000000</v>
      </c>
      <c r="Q121" s="104" t="s">
        <v>195</v>
      </c>
      <c r="R121" s="255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33" t="s">
        <v>25</v>
      </c>
      <c r="F122" s="64" t="s">
        <v>423</v>
      </c>
      <c r="G122" s="64" t="s">
        <v>424</v>
      </c>
      <c r="H122" s="64" t="s">
        <v>425</v>
      </c>
      <c r="I122" s="65" t="s">
        <v>426</v>
      </c>
      <c r="J122" s="66"/>
      <c r="K122" s="67"/>
      <c r="L122" s="65"/>
      <c r="M122" s="65"/>
      <c r="N122" s="64" t="s">
        <v>427</v>
      </c>
      <c r="O122" s="68"/>
      <c r="P122" s="69">
        <v>1674100000</v>
      </c>
      <c r="Q122" s="104" t="s">
        <v>195</v>
      </c>
      <c r="R122" s="255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33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427</v>
      </c>
      <c r="O123" s="68"/>
      <c r="P123" s="69">
        <v>100000000</v>
      </c>
      <c r="Q123" s="104" t="s">
        <v>195</v>
      </c>
      <c r="R123" s="255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33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437</v>
      </c>
      <c r="O124" s="68"/>
      <c r="P124" s="69">
        <f>46868580+47089900</f>
        <v>93958480</v>
      </c>
      <c r="Q124" s="104" t="s">
        <v>195</v>
      </c>
      <c r="R124" s="255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>x1</v>
      </c>
      <c r="B125" s="62">
        <f t="shared" si="7"/>
        <v>122</v>
      </c>
      <c r="C125" s="62" t="s">
        <v>128</v>
      </c>
      <c r="D125" s="67">
        <v>42704</v>
      </c>
      <c r="E125" s="233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438</v>
      </c>
      <c r="O125" s="68"/>
      <c r="P125" s="69">
        <v>34187120</v>
      </c>
      <c r="Q125" s="104"/>
      <c r="R125" s="255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>e</v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>x</v>
      </c>
      <c r="B126" s="62">
        <f t="shared" si="7"/>
        <v>123</v>
      </c>
      <c r="C126" s="62" t="s">
        <v>145</v>
      </c>
      <c r="D126" s="67">
        <v>42704</v>
      </c>
      <c r="E126" s="233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55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>p</v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 t="str">
        <f t="shared" si="7"/>
        <v/>
      </c>
      <c r="C127" s="62"/>
      <c r="D127" s="67">
        <v>42704</v>
      </c>
      <c r="E127" s="233" t="s">
        <v>25</v>
      </c>
      <c r="F127" s="64"/>
      <c r="G127" s="64"/>
      <c r="H127" s="64"/>
      <c r="I127" s="65"/>
      <c r="J127" s="66"/>
      <c r="K127" s="67"/>
      <c r="L127" s="65"/>
      <c r="M127" s="65"/>
      <c r="N127" s="64"/>
      <c r="O127" s="68"/>
      <c r="P127" s="69"/>
      <c r="Q127" s="104"/>
      <c r="R127" s="255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 t="str">
        <f t="shared" si="7"/>
        <v/>
      </c>
      <c r="C128" s="62"/>
      <c r="D128" s="67"/>
      <c r="E128" s="65"/>
      <c r="F128" s="64"/>
      <c r="G128" s="64"/>
      <c r="H128" s="64"/>
      <c r="I128" s="65"/>
      <c r="J128" s="66"/>
      <c r="K128" s="67"/>
      <c r="L128" s="65"/>
      <c r="M128" s="65"/>
      <c r="N128" s="64"/>
      <c r="O128" s="68"/>
      <c r="P128" s="69"/>
      <c r="Q128" s="104"/>
      <c r="R128" s="255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 t="str">
        <f t="shared" si="7"/>
        <v/>
      </c>
      <c r="C129" s="62"/>
      <c r="D129" s="67"/>
      <c r="E129" s="65"/>
      <c r="F129" s="64"/>
      <c r="G129" s="64"/>
      <c r="H129" s="64"/>
      <c r="I129" s="65"/>
      <c r="J129" s="66"/>
      <c r="K129" s="67"/>
      <c r="L129" s="65"/>
      <c r="M129" s="65"/>
      <c r="N129" s="64"/>
      <c r="O129" s="68"/>
      <c r="P129" s="69"/>
      <c r="Q129" s="104"/>
      <c r="R129" s="255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 t="str">
        <f t="shared" si="0"/>
        <v/>
      </c>
      <c r="C130" s="62"/>
      <c r="D130" s="67"/>
      <c r="E130" s="65"/>
      <c r="F130" s="64"/>
      <c r="G130" s="64"/>
      <c r="H130" s="64"/>
      <c r="I130" s="65"/>
      <c r="J130" s="66"/>
      <c r="K130" s="67"/>
      <c r="L130" s="65"/>
      <c r="M130" s="65"/>
      <c r="N130" s="64"/>
      <c r="O130" s="68"/>
      <c r="P130" s="69"/>
      <c r="Q130" s="104"/>
      <c r="R130" s="255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 t="str">
        <f t="shared" si="0"/>
        <v/>
      </c>
      <c r="C131" s="62"/>
      <c r="D131" s="67"/>
      <c r="E131" s="65"/>
      <c r="F131" s="64"/>
      <c r="G131" s="64"/>
      <c r="H131" s="64"/>
      <c r="I131" s="65"/>
      <c r="J131" s="66"/>
      <c r="K131" s="67"/>
      <c r="L131" s="65"/>
      <c r="M131" s="65"/>
      <c r="N131" s="64"/>
      <c r="O131" s="68"/>
      <c r="P131" s="69"/>
      <c r="Q131" s="104"/>
      <c r="R131" s="255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 t="str">
        <f t="shared" si="0"/>
        <v/>
      </c>
      <c r="C132" s="62"/>
      <c r="D132" s="67"/>
      <c r="E132" s="65"/>
      <c r="F132" s="64"/>
      <c r="G132" s="64"/>
      <c r="H132" s="64"/>
      <c r="I132" s="65"/>
      <c r="J132" s="66"/>
      <c r="K132" s="67"/>
      <c r="L132" s="65"/>
      <c r="M132" s="65"/>
      <c r="N132" s="64"/>
      <c r="O132" s="68"/>
      <c r="P132" s="69"/>
      <c r="Q132" s="104"/>
      <c r="R132" s="255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 t="str">
        <f t="shared" si="0"/>
        <v/>
      </c>
      <c r="C133" s="62"/>
      <c r="D133" s="67"/>
      <c r="E133" s="65"/>
      <c r="F133" s="64"/>
      <c r="G133" s="64"/>
      <c r="H133" s="64"/>
      <c r="I133" s="65"/>
      <c r="J133" s="66"/>
      <c r="K133" s="67"/>
      <c r="L133" s="65"/>
      <c r="M133" s="65"/>
      <c r="N133" s="64"/>
      <c r="O133" s="68"/>
      <c r="P133" s="69"/>
      <c r="Q133" s="104"/>
      <c r="R133" s="255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 t="str">
        <f t="shared" si="0"/>
        <v/>
      </c>
      <c r="C134" s="62"/>
      <c r="D134" s="67"/>
      <c r="E134" s="65"/>
      <c r="F134" s="64"/>
      <c r="G134" s="64"/>
      <c r="H134" s="64"/>
      <c r="I134" s="65"/>
      <c r="J134" s="66"/>
      <c r="K134" s="67"/>
      <c r="L134" s="65"/>
      <c r="M134" s="65"/>
      <c r="N134" s="64"/>
      <c r="O134" s="68"/>
      <c r="P134" s="69"/>
      <c r="Q134" s="104"/>
      <c r="R134" s="255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 t="str">
        <f t="shared" si="0"/>
        <v/>
      </c>
      <c r="C135" s="62"/>
      <c r="D135" s="67"/>
      <c r="E135" s="65"/>
      <c r="F135" s="64"/>
      <c r="G135" s="64"/>
      <c r="H135" s="64"/>
      <c r="I135" s="65"/>
      <c r="J135" s="66"/>
      <c r="K135" s="67"/>
      <c r="L135" s="65"/>
      <c r="M135" s="65"/>
      <c r="N135" s="64"/>
      <c r="O135" s="68"/>
      <c r="P135" s="69"/>
      <c r="Q135" s="104"/>
      <c r="R135" s="255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 t="str">
        <f t="shared" si="0"/>
        <v/>
      </c>
      <c r="C136" s="62"/>
      <c r="D136" s="67"/>
      <c r="E136" s="65"/>
      <c r="F136" s="64"/>
      <c r="G136" s="64"/>
      <c r="H136" s="64"/>
      <c r="I136" s="65"/>
      <c r="J136" s="66"/>
      <c r="K136" s="67"/>
      <c r="L136" s="65"/>
      <c r="M136" s="65"/>
      <c r="N136" s="64"/>
      <c r="O136" s="68"/>
      <c r="P136" s="69"/>
      <c r="Q136" s="104"/>
      <c r="R136" s="255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 t="str">
        <f t="shared" si="0"/>
        <v/>
      </c>
      <c r="C137" s="62"/>
      <c r="D137" s="67"/>
      <c r="E137" s="65"/>
      <c r="F137" s="64"/>
      <c r="G137" s="64"/>
      <c r="H137" s="64"/>
      <c r="I137" s="65"/>
      <c r="J137" s="66"/>
      <c r="K137" s="67"/>
      <c r="L137" s="65"/>
      <c r="M137" s="65"/>
      <c r="N137" s="64"/>
      <c r="O137" s="68"/>
      <c r="P137" s="69"/>
      <c r="Q137" s="104"/>
      <c r="R137" s="255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 t="str">
        <f t="shared" ref="B138:B141" si="8">IF(C138&lt;&gt;"",ROW()-3,"")</f>
        <v/>
      </c>
      <c r="C138" s="62"/>
      <c r="D138" s="67"/>
      <c r="E138" s="65"/>
      <c r="F138" s="64"/>
      <c r="G138" s="64"/>
      <c r="H138" s="64"/>
      <c r="I138" s="65"/>
      <c r="J138" s="66"/>
      <c r="K138" s="67"/>
      <c r="L138" s="65"/>
      <c r="M138" s="65"/>
      <c r="N138" s="64"/>
      <c r="O138" s="68"/>
      <c r="P138" s="69"/>
      <c r="Q138" s="104"/>
      <c r="R138" s="255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 t="str">
        <f t="shared" si="8"/>
        <v/>
      </c>
      <c r="C139" s="62"/>
      <c r="D139" s="67"/>
      <c r="E139" s="65"/>
      <c r="F139" s="64"/>
      <c r="G139" s="64"/>
      <c r="H139" s="64"/>
      <c r="I139" s="65"/>
      <c r="J139" s="66"/>
      <c r="K139" s="67"/>
      <c r="L139" s="65"/>
      <c r="M139" s="65"/>
      <c r="N139" s="64"/>
      <c r="O139" s="68"/>
      <c r="P139" s="69"/>
      <c r="Q139" s="104"/>
      <c r="R139" s="255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 t="str">
        <f t="shared" si="8"/>
        <v/>
      </c>
      <c r="C140" s="62"/>
      <c r="D140" s="67"/>
      <c r="E140" s="65"/>
      <c r="F140" s="64"/>
      <c r="G140" s="64"/>
      <c r="H140" s="64"/>
      <c r="I140" s="65"/>
      <c r="J140" s="66"/>
      <c r="K140" s="67"/>
      <c r="L140" s="65"/>
      <c r="M140" s="65"/>
      <c r="N140" s="64"/>
      <c r="O140" s="68"/>
      <c r="P140" s="69"/>
      <c r="Q140" s="104"/>
      <c r="R140" s="255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 t="str">
        <f t="shared" si="8"/>
        <v/>
      </c>
      <c r="C141" s="62"/>
      <c r="D141" s="67"/>
      <c r="E141" s="65"/>
      <c r="F141" s="64"/>
      <c r="G141" s="64"/>
      <c r="H141" s="64"/>
      <c r="I141" s="65"/>
      <c r="J141" s="66"/>
      <c r="K141" s="67"/>
      <c r="L141" s="65"/>
      <c r="M141" s="65"/>
      <c r="N141" s="64"/>
      <c r="O141" s="68"/>
      <c r="P141" s="69"/>
      <c r="Q141" s="104"/>
      <c r="R141" s="255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 t="str">
        <f t="shared" ref="B142:B149" si="9">IF(C142&lt;&gt;"",ROW()-3,"")</f>
        <v/>
      </c>
      <c r="C142" s="62"/>
      <c r="D142" s="67"/>
      <c r="E142" s="65"/>
      <c r="F142" s="64"/>
      <c r="G142" s="64"/>
      <c r="H142" s="64"/>
      <c r="I142" s="65"/>
      <c r="J142" s="66"/>
      <c r="K142" s="67"/>
      <c r="L142" s="65"/>
      <c r="M142" s="65"/>
      <c r="N142" s="64"/>
      <c r="O142" s="68"/>
      <c r="P142" s="69"/>
      <c r="Q142" s="104"/>
      <c r="R142" s="255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 t="str">
        <f t="shared" si="9"/>
        <v/>
      </c>
      <c r="C143" s="62"/>
      <c r="D143" s="67"/>
      <c r="E143" s="65"/>
      <c r="F143" s="64"/>
      <c r="G143" s="64"/>
      <c r="H143" s="64"/>
      <c r="I143" s="65"/>
      <c r="J143" s="66"/>
      <c r="K143" s="67"/>
      <c r="L143" s="65"/>
      <c r="M143" s="65"/>
      <c r="N143" s="64"/>
      <c r="O143" s="68"/>
      <c r="P143" s="69"/>
      <c r="Q143" s="104"/>
      <c r="R143" s="255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 t="str">
        <f t="shared" si="9"/>
        <v/>
      </c>
      <c r="C144" s="62"/>
      <c r="D144" s="67"/>
      <c r="E144" s="65"/>
      <c r="F144" s="64"/>
      <c r="G144" s="64"/>
      <c r="H144" s="64"/>
      <c r="I144" s="65"/>
      <c r="J144" s="66"/>
      <c r="K144" s="67"/>
      <c r="L144" s="65"/>
      <c r="M144" s="65"/>
      <c r="N144" s="64"/>
      <c r="O144" s="68"/>
      <c r="P144" s="69"/>
      <c r="Q144" s="104"/>
      <c r="R144" s="255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 t="str">
        <f t="shared" si="9"/>
        <v/>
      </c>
      <c r="C145" s="62"/>
      <c r="D145" s="67"/>
      <c r="E145" s="65"/>
      <c r="F145" s="64"/>
      <c r="G145" s="64"/>
      <c r="H145" s="64"/>
      <c r="I145" s="65"/>
      <c r="J145" s="66"/>
      <c r="K145" s="67"/>
      <c r="L145" s="65"/>
      <c r="M145" s="65"/>
      <c r="N145" s="64"/>
      <c r="O145" s="68"/>
      <c r="P145" s="69"/>
      <c r="Q145" s="104"/>
      <c r="R145" s="255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 t="str">
        <f t="shared" si="9"/>
        <v/>
      </c>
      <c r="C146" s="62"/>
      <c r="D146" s="67"/>
      <c r="E146" s="65"/>
      <c r="F146" s="64"/>
      <c r="G146" s="64"/>
      <c r="H146" s="64"/>
      <c r="I146" s="65"/>
      <c r="J146" s="66"/>
      <c r="K146" s="67"/>
      <c r="L146" s="65"/>
      <c r="M146" s="65"/>
      <c r="N146" s="64"/>
      <c r="O146" s="68"/>
      <c r="P146" s="69"/>
      <c r="Q146" s="104"/>
      <c r="R146" s="255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 t="str">
        <f t="shared" si="9"/>
        <v/>
      </c>
      <c r="C147" s="62"/>
      <c r="D147" s="67"/>
      <c r="E147" s="65"/>
      <c r="F147" s="64"/>
      <c r="G147" s="64"/>
      <c r="H147" s="64"/>
      <c r="I147" s="65"/>
      <c r="J147" s="66"/>
      <c r="K147" s="67"/>
      <c r="L147" s="65"/>
      <c r="M147" s="65"/>
      <c r="N147" s="64"/>
      <c r="O147" s="68"/>
      <c r="P147" s="69"/>
      <c r="Q147" s="104"/>
      <c r="R147" s="255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 t="str">
        <f t="shared" si="9"/>
        <v/>
      </c>
      <c r="C148" s="62"/>
      <c r="D148" s="67"/>
      <c r="E148" s="65"/>
      <c r="F148" s="64"/>
      <c r="G148" s="64"/>
      <c r="H148" s="64"/>
      <c r="I148" s="65"/>
      <c r="J148" s="66"/>
      <c r="K148" s="67"/>
      <c r="L148" s="65"/>
      <c r="M148" s="65"/>
      <c r="N148" s="64"/>
      <c r="O148" s="68"/>
      <c r="P148" s="69"/>
      <c r="Q148" s="104"/>
      <c r="R148" s="255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 t="str">
        <f t="shared" si="9"/>
        <v/>
      </c>
      <c r="C149" s="62"/>
      <c r="D149" s="67"/>
      <c r="E149" s="65"/>
      <c r="F149" s="64"/>
      <c r="G149" s="64"/>
      <c r="H149" s="64"/>
      <c r="I149" s="65"/>
      <c r="J149" s="66"/>
      <c r="K149" s="67"/>
      <c r="L149" s="65"/>
      <c r="M149" s="65"/>
      <c r="N149" s="64"/>
      <c r="O149" s="68"/>
      <c r="P149" s="69"/>
      <c r="Q149" s="104"/>
      <c r="R149" s="255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 t="str">
        <f t="shared" si="0"/>
        <v/>
      </c>
      <c r="C150" s="62"/>
      <c r="D150" s="67"/>
      <c r="E150" s="65"/>
      <c r="F150" s="64"/>
      <c r="G150" s="64"/>
      <c r="H150" s="64"/>
      <c r="I150" s="65"/>
      <c r="J150" s="66"/>
      <c r="K150" s="67"/>
      <c r="L150" s="65"/>
      <c r="M150" s="65"/>
      <c r="N150" s="64"/>
      <c r="O150" s="68"/>
      <c r="P150" s="69"/>
      <c r="Q150" s="104"/>
      <c r="R150" s="255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 t="str">
        <f t="shared" si="0"/>
        <v/>
      </c>
      <c r="C151" s="62"/>
      <c r="D151" s="67"/>
      <c r="E151" s="65"/>
      <c r="F151" s="64"/>
      <c r="G151" s="64"/>
      <c r="H151" s="64"/>
      <c r="I151" s="65"/>
      <c r="J151" s="66"/>
      <c r="K151" s="67"/>
      <c r="L151" s="65"/>
      <c r="M151" s="65"/>
      <c r="N151" s="64"/>
      <c r="O151" s="68"/>
      <c r="P151" s="69"/>
      <c r="Q151" s="104"/>
      <c r="R151" s="255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 t="str">
        <f t="shared" si="0"/>
        <v/>
      </c>
      <c r="C152" s="62"/>
      <c r="D152" s="67"/>
      <c r="E152" s="65"/>
      <c r="F152" s="64"/>
      <c r="G152" s="64"/>
      <c r="H152" s="64"/>
      <c r="I152" s="65"/>
      <c r="J152" s="66"/>
      <c r="K152" s="67"/>
      <c r="L152" s="65"/>
      <c r="M152" s="65"/>
      <c r="N152" s="64"/>
      <c r="O152" s="68"/>
      <c r="P152" s="69"/>
      <c r="Q152" s="104"/>
      <c r="R152" s="255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 t="str">
        <f t="shared" si="0"/>
        <v/>
      </c>
      <c r="C153" s="62"/>
      <c r="D153" s="67"/>
      <c r="E153" s="65"/>
      <c r="F153" s="64"/>
      <c r="G153" s="64"/>
      <c r="H153" s="64"/>
      <c r="I153" s="65"/>
      <c r="J153" s="66"/>
      <c r="K153" s="67"/>
      <c r="L153" s="65"/>
      <c r="M153" s="65"/>
      <c r="N153" s="64"/>
      <c r="O153" s="68"/>
      <c r="P153" s="69"/>
      <c r="Q153" s="104"/>
      <c r="R153" s="255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 t="str">
        <f t="shared" si="0"/>
        <v/>
      </c>
      <c r="C154" s="62"/>
      <c r="D154" s="67"/>
      <c r="E154" s="65"/>
      <c r="F154" s="64"/>
      <c r="G154" s="64"/>
      <c r="H154" s="64"/>
      <c r="I154" s="65"/>
      <c r="J154" s="66"/>
      <c r="K154" s="67"/>
      <c r="L154" s="65"/>
      <c r="M154" s="65"/>
      <c r="N154" s="64"/>
      <c r="O154" s="68"/>
      <c r="P154" s="69"/>
      <c r="Q154" s="104"/>
      <c r="R154" s="255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 t="str">
        <f t="shared" si="0"/>
        <v/>
      </c>
      <c r="C155" s="62"/>
      <c r="D155" s="67"/>
      <c r="E155" s="65"/>
      <c r="F155" s="64"/>
      <c r="G155" s="64"/>
      <c r="H155" s="64"/>
      <c r="I155" s="65"/>
      <c r="J155" s="66"/>
      <c r="K155" s="67"/>
      <c r="L155" s="65"/>
      <c r="M155" s="65"/>
      <c r="N155" s="64"/>
      <c r="O155" s="68"/>
      <c r="P155" s="69"/>
      <c r="Q155" s="104"/>
      <c r="R155" s="255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 t="str">
        <f t="shared" si="0"/>
        <v/>
      </c>
      <c r="C156" s="62"/>
      <c r="D156" s="67"/>
      <c r="E156" s="65"/>
      <c r="F156" s="64"/>
      <c r="G156" s="64"/>
      <c r="H156" s="64"/>
      <c r="I156" s="65"/>
      <c r="J156" s="66"/>
      <c r="K156" s="67"/>
      <c r="L156" s="65"/>
      <c r="M156" s="65"/>
      <c r="N156" s="64"/>
      <c r="O156" s="68"/>
      <c r="P156" s="69"/>
      <c r="Q156" s="104"/>
      <c r="R156" s="255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 t="str">
        <f t="shared" si="0"/>
        <v/>
      </c>
      <c r="C157" s="62"/>
      <c r="D157" s="67"/>
      <c r="E157" s="65"/>
      <c r="F157" s="64"/>
      <c r="G157" s="64"/>
      <c r="H157" s="64"/>
      <c r="I157" s="65"/>
      <c r="J157" s="66"/>
      <c r="K157" s="67"/>
      <c r="L157" s="65"/>
      <c r="M157" s="65"/>
      <c r="N157" s="64"/>
      <c r="O157" s="68"/>
      <c r="P157" s="69"/>
      <c r="Q157" s="104"/>
      <c r="R157" s="255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ht="18.75" customHeight="1">
      <c r="R158" s="255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</sheetData>
  <autoFilter ref="B3:X158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57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229" t="s">
        <v>346</v>
      </c>
      <c r="Q3" s="143" t="s">
        <v>282</v>
      </c>
      <c r="R3" s="274"/>
      <c r="S3" s="275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76" t="s">
        <v>296</v>
      </c>
      <c r="B9" s="276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>IF((LEFT(B11,4)="1402"),F11*R11*DATEDIF(DATE(YEAR(Q11),MONTH(Q11)-1,IF(MONTH(C11)=(MONTH(Q11)-1),DAY(C11),16)),Q11,"d")/360,0)</f>
        <v>0</v>
      </c>
      <c r="P11" s="161">
        <f>IF((LEFT(B11,4)="1025"),F11*R11*DATEDIF(DATE(YEAR(Q11),MONTH(Q11)-1,DAY(Q11)),Q11,"d")/360,0)</f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>IF((LEFT(B12,4)="1402"),F12*R12*DATEDIF(DATE(YEAR(Q12),MONTH(Q12)-1,IF(MONTH(C12)=(MONTH(Q12)-1),DAY(C12),16)),Q12,"d")/360,0)</f>
        <v>0</v>
      </c>
      <c r="P12" s="161">
        <f>IF((LEFT(B12,4)="1025"),F12*R12*DATEDIF(DATE(YEAR(Q12),MONTH(Q12)-1,DAY(Q12)),Q12,"d")/360,0)</f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>IF((LEFT(B13,4)="1402"),F13*R13*DATEDIF(DATE(YEAR(Q13),MONTH(Q13)-1,IF(MONTH(C13)=(MONTH(Q13)-1),DAY(C13),16)),Q13,"d")/360,0)</f>
        <v>0</v>
      </c>
      <c r="P13" s="161">
        <f>IF((LEFT(B13,4)="1025"),F13*R13*DATEDIF(DATE(YEAR(Q13),MONTH(Q13)-1,DAY(Q13)),Q13,"d")/360,0)</f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331</v>
      </c>
      <c r="C14" s="157">
        <v>42543</v>
      </c>
      <c r="D14" s="157">
        <v>42635</v>
      </c>
      <c r="E14" s="159">
        <v>1963104000</v>
      </c>
      <c r="F14" s="158">
        <f>E14/G14</f>
        <v>88000</v>
      </c>
      <c r="G14" s="159">
        <v>22308</v>
      </c>
      <c r="H14" s="157"/>
      <c r="I14" s="158"/>
      <c r="J14" s="158"/>
      <c r="K14" s="150"/>
      <c r="L14" s="147">
        <f t="shared" si="4"/>
        <v>88000</v>
      </c>
      <c r="M14" s="158"/>
      <c r="N14" s="159">
        <f>P14*G14</f>
        <v>6085622.3999999994</v>
      </c>
      <c r="O14" s="161">
        <f>IF((LEFT(B14,4)="1402"),F14*R14*DATEDIF(DATE(YEAR(Q14),MONTH(Q14)-1,IF(MONTH(C14)=(MONTH(Q14)-1),DAY(C14),16)),Q14,"d")/360,0)</f>
        <v>0</v>
      </c>
      <c r="P14" s="161">
        <f>IF((LEFT(B14,4)="1025"),F14*R14*DATEDIF(DATE(YEAR(Q14),MONTH(Q14)-1,DAY(Q14)),Q14,"d")/360,0)</f>
        <v>272.79999999999995</v>
      </c>
      <c r="Q14" s="146">
        <v>42635</v>
      </c>
      <c r="R14" s="227">
        <v>3.5999999999999997E-2</v>
      </c>
      <c r="S14" s="191"/>
      <c r="T14" s="154"/>
    </row>
    <row r="15" spans="1:20" s="154" customFormat="1" ht="17.25" customHeight="1">
      <c r="A15" s="180">
        <f t="shared" si="3"/>
        <v>6</v>
      </c>
      <c r="B15" s="156" t="s">
        <v>336</v>
      </c>
      <c r="C15" s="157">
        <v>42545</v>
      </c>
      <c r="D15" s="157">
        <v>42728</v>
      </c>
      <c r="E15" s="159"/>
      <c r="F15" s="158">
        <v>150000</v>
      </c>
      <c r="G15" s="159"/>
      <c r="H15" s="157"/>
      <c r="I15" s="158"/>
      <c r="J15" s="158"/>
      <c r="K15" s="147"/>
      <c r="L15" s="147">
        <f t="shared" si="4"/>
        <v>150000</v>
      </c>
      <c r="M15" s="158"/>
      <c r="N15" s="158"/>
      <c r="O15" s="161">
        <f t="shared" ref="O15:O19" si="5">IF((LEFT(B15,4)="1402"),F15*R15*DATEDIF(DATE(YEAR(Q15),MONTH(Q15)-1,IF(MONTH(C15)=(MONTH(Q15)-1),DAY(C15),16)),Q15,"d")/360,0)</f>
        <v>0</v>
      </c>
      <c r="P15" s="161">
        <f t="shared" ref="P15:P19" si="6">IF((LEFT(B15,4)="1025"),F15*R15*DATEDIF(DATE(YEAR(Q15),MONTH(Q15)-1,DAY(Q15)),Q15,"d")/360,0)</f>
        <v>387.5</v>
      </c>
      <c r="Q15" s="146">
        <v>42637</v>
      </c>
      <c r="R15" s="227">
        <v>0.03</v>
      </c>
      <c r="S15" s="163"/>
      <c r="T15" s="242">
        <f>E14*R14/12</f>
        <v>5889312</v>
      </c>
    </row>
    <row r="16" spans="1:20" s="154" customFormat="1" ht="17.25" customHeight="1">
      <c r="A16" s="180">
        <f t="shared" si="3"/>
        <v>7</v>
      </c>
      <c r="B16" s="156" t="s">
        <v>337</v>
      </c>
      <c r="C16" s="157">
        <v>42552</v>
      </c>
      <c r="D16" s="157">
        <v>42737</v>
      </c>
      <c r="E16" s="159">
        <f>F16*G16</f>
        <v>1996566000</v>
      </c>
      <c r="F16" s="158">
        <v>89500</v>
      </c>
      <c r="G16" s="159">
        <v>22308</v>
      </c>
      <c r="H16" s="157"/>
      <c r="I16" s="158"/>
      <c r="J16" s="158"/>
      <c r="K16" s="147"/>
      <c r="L16" s="147">
        <f t="shared" si="4"/>
        <v>89500</v>
      </c>
      <c r="M16" s="158"/>
      <c r="N16" s="158"/>
      <c r="O16" s="161">
        <f t="shared" si="5"/>
        <v>0</v>
      </c>
      <c r="P16" s="161">
        <f t="shared" si="6"/>
        <v>223.75</v>
      </c>
      <c r="Q16" s="146">
        <v>42644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338</v>
      </c>
      <c r="C17" s="201">
        <v>42556</v>
      </c>
      <c r="D17" s="157">
        <v>42740</v>
      </c>
      <c r="E17" s="159">
        <f>F17*G17</f>
        <v>1985412000</v>
      </c>
      <c r="F17" s="202">
        <v>89000</v>
      </c>
      <c r="G17" s="159">
        <v>22308</v>
      </c>
      <c r="H17" s="201"/>
      <c r="I17" s="202"/>
      <c r="J17" s="202"/>
      <c r="K17" s="147"/>
      <c r="L17" s="147">
        <f t="shared" si="4"/>
        <v>89000</v>
      </c>
      <c r="M17" s="202"/>
      <c r="N17" s="202"/>
      <c r="O17" s="161">
        <f t="shared" si="5"/>
        <v>0</v>
      </c>
      <c r="P17" s="161">
        <f t="shared" si="6"/>
        <v>222.5</v>
      </c>
      <c r="Q17" s="146">
        <v>42648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339</v>
      </c>
      <c r="C18" s="201">
        <v>42600</v>
      </c>
      <c r="D18" s="157">
        <v>42784</v>
      </c>
      <c r="E18" s="203"/>
      <c r="F18" s="202">
        <v>63000</v>
      </c>
      <c r="G18" s="159">
        <v>22308</v>
      </c>
      <c r="H18" s="201"/>
      <c r="I18" s="202"/>
      <c r="J18" s="202"/>
      <c r="K18" s="147"/>
      <c r="L18" s="147">
        <f t="shared" si="4"/>
        <v>63000</v>
      </c>
      <c r="M18" s="202"/>
      <c r="N18" s="202"/>
      <c r="O18" s="161">
        <f t="shared" si="5"/>
        <v>0</v>
      </c>
      <c r="P18" s="161">
        <f t="shared" si="6"/>
        <v>162.75</v>
      </c>
      <c r="Q18" s="146">
        <v>42631</v>
      </c>
      <c r="R18" s="227">
        <v>0.03</v>
      </c>
      <c r="S18" s="191"/>
      <c r="T18" s="232"/>
    </row>
    <row r="19" spans="1:20" s="154" customFormat="1" ht="17.25" customHeight="1">
      <c r="A19" s="180">
        <f t="shared" si="3"/>
        <v>10</v>
      </c>
      <c r="B19" s="156" t="s">
        <v>345</v>
      </c>
      <c r="C19" s="201">
        <v>42612</v>
      </c>
      <c r="D19" s="157">
        <v>42794</v>
      </c>
      <c r="E19" s="203"/>
      <c r="F19" s="202">
        <v>89500</v>
      </c>
      <c r="G19" s="159">
        <v>22308</v>
      </c>
      <c r="H19" s="201"/>
      <c r="I19" s="202"/>
      <c r="J19" s="202"/>
      <c r="K19" s="147"/>
      <c r="L19" s="147">
        <f t="shared" si="4"/>
        <v>89500</v>
      </c>
      <c r="M19" s="202"/>
      <c r="N19" s="202"/>
      <c r="O19" s="161">
        <f t="shared" si="5"/>
        <v>0</v>
      </c>
      <c r="P19" s="161">
        <f t="shared" si="6"/>
        <v>231.20833333333334</v>
      </c>
      <c r="Q19" s="146">
        <v>42635</v>
      </c>
      <c r="R19" s="227">
        <v>0.03</v>
      </c>
      <c r="S19" s="163"/>
      <c r="T19" s="232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2" t="s">
        <v>343</v>
      </c>
      <c r="B21" s="272"/>
      <c r="C21" s="205"/>
      <c r="D21" s="205"/>
      <c r="E21" s="175">
        <f>SUM(E4:E20)</f>
        <v>14097980737</v>
      </c>
      <c r="F21" s="176">
        <f>SUM(F10:F20)</f>
        <v>934469.73000717233</v>
      </c>
      <c r="G21" s="175">
        <f>SUM(G4:G16)</f>
        <v>133848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2633.4644963555675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2" t="s">
        <v>326</v>
      </c>
      <c r="B39" s="272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C19" sqref="C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5" t="s">
        <v>275</v>
      </c>
      <c r="J3" s="245" t="s">
        <v>278</v>
      </c>
      <c r="K3" s="246" t="s">
        <v>275</v>
      </c>
      <c r="L3" s="137" t="s">
        <v>278</v>
      </c>
      <c r="M3" s="243" t="s">
        <v>279</v>
      </c>
      <c r="N3" s="243" t="s">
        <v>280</v>
      </c>
      <c r="O3" s="142" t="s">
        <v>281</v>
      </c>
      <c r="P3" s="244" t="s">
        <v>346</v>
      </c>
      <c r="Q3" s="244" t="s">
        <v>282</v>
      </c>
      <c r="R3" s="274"/>
      <c r="S3" s="275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76" t="s">
        <v>296</v>
      </c>
      <c r="B9" s="276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 t="shared" si="5"/>
        <v>0</v>
      </c>
      <c r="P13" s="161">
        <f t="shared" si="6"/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6456140.2109999992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2" t="s">
        <v>343</v>
      </c>
      <c r="B21" s="272"/>
      <c r="C21" s="205"/>
      <c r="D21" s="205"/>
      <c r="E21" s="175">
        <f>SUM(E4:E20)</f>
        <v>8152898737</v>
      </c>
      <c r="F21" s="176">
        <f>SUM(F10:F20)</f>
        <v>934469.73000717233</v>
      </c>
      <c r="G21" s="175">
        <f>SUM(G4:G16)</f>
        <v>89232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2587.9978296889012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2" t="s">
        <v>326</v>
      </c>
      <c r="B39" s="272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9">
    <sortCondition ref="C10:C19"/>
  </sortState>
  <mergeCells count="12">
    <mergeCell ref="M2:Q2"/>
    <mergeCell ref="R2:R3"/>
    <mergeCell ref="S2:S3"/>
    <mergeCell ref="A9:B9"/>
    <mergeCell ref="A21:B21"/>
    <mergeCell ref="H2:J2"/>
    <mergeCell ref="K2:L2"/>
    <mergeCell ref="A39:B39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:K3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9" t="s">
        <v>275</v>
      </c>
      <c r="J3" s="249" t="s">
        <v>278</v>
      </c>
      <c r="K3" s="250" t="s">
        <v>275</v>
      </c>
      <c r="L3" s="137" t="s">
        <v>278</v>
      </c>
      <c r="M3" s="247" t="s">
        <v>279</v>
      </c>
      <c r="N3" s="247" t="s">
        <v>280</v>
      </c>
      <c r="O3" s="142" t="s">
        <v>281</v>
      </c>
      <c r="P3" s="248" t="s">
        <v>346</v>
      </c>
      <c r="Q3" s="248" t="s">
        <v>282</v>
      </c>
      <c r="R3" s="274"/>
      <c r="S3" s="275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76" t="s">
        <v>296</v>
      </c>
      <c r="B9" s="276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/>
      <c r="C13" s="157"/>
      <c r="D13" s="157"/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0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2" t="s">
        <v>343</v>
      </c>
      <c r="B21" s="272"/>
      <c r="C21" s="205"/>
      <c r="D21" s="205"/>
      <c r="E21" s="175">
        <f>SUM(E4:E20)</f>
        <v>6000852000</v>
      </c>
      <c r="F21" s="176">
        <f>SUM(F10:F20)</f>
        <v>934000</v>
      </c>
      <c r="G21" s="175">
        <f>SUM(G4:G16)</f>
        <v>66924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934000</v>
      </c>
      <c r="M21" s="176">
        <f>SUM(M4:M14)</f>
        <v>0</v>
      </c>
      <c r="N21" s="176"/>
      <c r="O21" s="176">
        <f>SUM(O10:O20)</f>
        <v>0</v>
      </c>
      <c r="P21" s="176">
        <f>SUM(P10:P20)</f>
        <v>2288.9416666666666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991660000</v>
      </c>
      <c r="F22" s="161"/>
      <c r="G22" s="189"/>
      <c r="H22" s="188">
        <v>42662</v>
      </c>
      <c r="I22" s="189">
        <v>8340000</v>
      </c>
      <c r="J22" s="161"/>
      <c r="K22" s="189">
        <f t="shared" ref="K22:K36" si="7">E22-I22</f>
        <v>983320000</v>
      </c>
      <c r="L22" s="161"/>
      <c r="M22" s="189">
        <f>IF((LEFT(B22,4)="1402"),E22*R22*DATEDIF(DATE(YEAR(Q22),MONTH(Q22)-1,IF(MONTH(C22)=(MONTH(Q22)-1),DAY(C22),16)),Q22,"d")/360,0)</f>
        <v>8112329.722222222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1983330000</v>
      </c>
      <c r="F23" s="161"/>
      <c r="G23" s="189"/>
      <c r="H23" s="188">
        <v>42662</v>
      </c>
      <c r="I23" s="189">
        <v>16670000</v>
      </c>
      <c r="J23" s="161"/>
      <c r="K23" s="189">
        <f t="shared" si="7"/>
        <v>1966660000</v>
      </c>
      <c r="L23" s="161"/>
      <c r="M23" s="189">
        <f t="shared" ref="M23:M35" si="10">IF((LEFT(B23,4)="1402"),E23*R23*DATEDIF(DATE(YEAR(Q23),MONTH(Q23)-1,IF(MONTH(C23)=(MONTH(Q23)-1),DAY(C23),16)),Q23,"d")/360,0)</f>
        <v>17794877.5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1586660000</v>
      </c>
      <c r="F24" s="213"/>
      <c r="G24" s="212"/>
      <c r="H24" s="188">
        <v>42662</v>
      </c>
      <c r="I24" s="212">
        <v>13340000</v>
      </c>
      <c r="J24" s="213"/>
      <c r="K24" s="189">
        <f t="shared" si="7"/>
        <v>1573320000</v>
      </c>
      <c r="L24" s="213"/>
      <c r="M24" s="189">
        <f t="shared" si="10"/>
        <v>14235866.111111112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1487500000</v>
      </c>
      <c r="F25" s="213"/>
      <c r="G25" s="212"/>
      <c r="H25" s="188">
        <v>42662</v>
      </c>
      <c r="I25" s="212">
        <v>12500000</v>
      </c>
      <c r="J25" s="213"/>
      <c r="K25" s="189">
        <f t="shared" si="7"/>
        <v>1475000000</v>
      </c>
      <c r="L25" s="213"/>
      <c r="M25" s="189">
        <f t="shared" si="10"/>
        <v>13346180.555555556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991670000</v>
      </c>
      <c r="F26" s="213"/>
      <c r="G26" s="212"/>
      <c r="H26" s="188">
        <v>42662</v>
      </c>
      <c r="I26" s="212">
        <v>8330000</v>
      </c>
      <c r="J26" s="213"/>
      <c r="K26" s="212">
        <f t="shared" si="7"/>
        <v>983340000</v>
      </c>
      <c r="L26" s="213"/>
      <c r="M26" s="189">
        <f t="shared" si="10"/>
        <v>8897483.6111111119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1487500000</v>
      </c>
      <c r="F27" s="213"/>
      <c r="G27" s="212"/>
      <c r="H27" s="188">
        <v>42662</v>
      </c>
      <c r="I27" s="212">
        <v>12500000</v>
      </c>
      <c r="J27" s="213"/>
      <c r="K27" s="212">
        <f t="shared" si="7"/>
        <v>1475000000</v>
      </c>
      <c r="L27" s="213"/>
      <c r="M27" s="189">
        <f t="shared" si="10"/>
        <v>13346180.555555556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1983330000</v>
      </c>
      <c r="F28" s="213"/>
      <c r="G28" s="212"/>
      <c r="H28" s="188">
        <v>42662</v>
      </c>
      <c r="I28" s="212">
        <v>16670000</v>
      </c>
      <c r="J28" s="213"/>
      <c r="K28" s="212">
        <f t="shared" si="7"/>
        <v>1966660000</v>
      </c>
      <c r="L28" s="213"/>
      <c r="M28" s="189">
        <f t="shared" si="10"/>
        <v>17794877.5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1388330000</v>
      </c>
      <c r="F29" s="213"/>
      <c r="G29" s="212"/>
      <c r="H29" s="188">
        <v>42662</v>
      </c>
      <c r="I29" s="212">
        <v>11670000</v>
      </c>
      <c r="J29" s="213"/>
      <c r="K29" s="212">
        <f t="shared" si="7"/>
        <v>1376660000</v>
      </c>
      <c r="L29" s="213"/>
      <c r="M29" s="189">
        <f t="shared" si="10"/>
        <v>12456405.277777778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1487500000</v>
      </c>
      <c r="F30" s="213"/>
      <c r="G30" s="212"/>
      <c r="H30" s="188">
        <v>42662</v>
      </c>
      <c r="I30" s="212">
        <v>12500000</v>
      </c>
      <c r="J30" s="213"/>
      <c r="K30" s="212">
        <f t="shared" si="7"/>
        <v>1475000000</v>
      </c>
      <c r="L30" s="213"/>
      <c r="M30" s="189">
        <f t="shared" si="10"/>
        <v>13346180.555555556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1487500000</v>
      </c>
      <c r="F31" s="213"/>
      <c r="G31" s="212"/>
      <c r="H31" s="188">
        <v>42662</v>
      </c>
      <c r="I31" s="212">
        <v>12500000</v>
      </c>
      <c r="J31" s="213"/>
      <c r="K31" s="212">
        <f t="shared" si="7"/>
        <v>1475000000</v>
      </c>
      <c r="L31" s="213"/>
      <c r="M31" s="189">
        <f t="shared" si="10"/>
        <v>13346180.555555556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1487500000</v>
      </c>
      <c r="F32" s="213"/>
      <c r="G32" s="212"/>
      <c r="H32" s="188">
        <v>42662</v>
      </c>
      <c r="I32" s="212">
        <v>12500000</v>
      </c>
      <c r="J32" s="213"/>
      <c r="K32" s="212">
        <f t="shared" si="7"/>
        <v>1475000000</v>
      </c>
      <c r="L32" s="213"/>
      <c r="M32" s="189">
        <f t="shared" si="10"/>
        <v>13346180.555555556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1487500000</v>
      </c>
      <c r="F33" s="213"/>
      <c r="G33" s="212"/>
      <c r="H33" s="188">
        <v>42662</v>
      </c>
      <c r="I33" s="212">
        <v>12500000</v>
      </c>
      <c r="J33" s="213"/>
      <c r="K33" s="212">
        <f t="shared" si="7"/>
        <v>1475000000</v>
      </c>
      <c r="L33" s="213"/>
      <c r="M33" s="189">
        <f t="shared" si="10"/>
        <v>13346180.555555556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991670000</v>
      </c>
      <c r="F34" s="213"/>
      <c r="G34" s="212"/>
      <c r="H34" s="188">
        <v>42662</v>
      </c>
      <c r="I34" s="212">
        <v>8330000</v>
      </c>
      <c r="J34" s="213"/>
      <c r="K34" s="212">
        <f t="shared" si="7"/>
        <v>983340000</v>
      </c>
      <c r="L34" s="213"/>
      <c r="M34" s="189">
        <f t="shared" si="10"/>
        <v>8897483.6111111119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991670000</v>
      </c>
      <c r="F35" s="213"/>
      <c r="G35" s="212"/>
      <c r="H35" s="188">
        <v>42662</v>
      </c>
      <c r="I35" s="212">
        <v>8330000</v>
      </c>
      <c r="J35" s="213"/>
      <c r="K35" s="212">
        <f t="shared" si="7"/>
        <v>983340000</v>
      </c>
      <c r="L35" s="213"/>
      <c r="M35" s="189">
        <f t="shared" si="10"/>
        <v>9682555.694444444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2" t="s">
        <v>326</v>
      </c>
      <c r="B39" s="272"/>
      <c r="C39" s="205"/>
      <c r="D39" s="205"/>
      <c r="E39" s="175">
        <f>SUM(E22:E38)</f>
        <v>19833320000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19666640000</v>
      </c>
      <c r="L39" s="176">
        <f t="shared" si="12"/>
        <v>88000</v>
      </c>
      <c r="M39" s="175">
        <f t="shared" si="12"/>
        <v>177948962.3611111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mergeCells count="12">
    <mergeCell ref="M2:Q2"/>
    <mergeCell ref="R2:R3"/>
    <mergeCell ref="S2:S3"/>
    <mergeCell ref="A9:B9"/>
    <mergeCell ref="A21:B21"/>
    <mergeCell ref="H2:J2"/>
    <mergeCell ref="K2:L2"/>
    <mergeCell ref="A39:B39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11" sqref="F10:F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3" t="s">
        <v>275</v>
      </c>
      <c r="J3" s="253" t="s">
        <v>278</v>
      </c>
      <c r="K3" s="254" t="s">
        <v>275</v>
      </c>
      <c r="L3" s="137" t="s">
        <v>278</v>
      </c>
      <c r="M3" s="251" t="s">
        <v>279</v>
      </c>
      <c r="N3" s="251" t="s">
        <v>280</v>
      </c>
      <c r="O3" s="142" t="s">
        <v>281</v>
      </c>
      <c r="P3" s="252" t="s">
        <v>346</v>
      </c>
      <c r="Q3" s="252" t="s">
        <v>282</v>
      </c>
      <c r="R3" s="274"/>
      <c r="S3" s="275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76" t="s">
        <v>296</v>
      </c>
      <c r="B9" s="276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2" t="s">
        <v>343</v>
      </c>
      <c r="B23" s="272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2" t="s">
        <v>326</v>
      </c>
      <c r="B41" s="272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M2:Q2"/>
    <mergeCell ref="R2:R3"/>
    <mergeCell ref="S2:S3"/>
    <mergeCell ref="A9:B9"/>
    <mergeCell ref="A23:B23"/>
    <mergeCell ref="H2:J2"/>
    <mergeCell ref="K2:L2"/>
    <mergeCell ref="A41:B41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42704</v>
      </c>
      <c r="U2" s="11"/>
      <c r="V2" s="12" t="s">
        <v>23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CTY CP GIẢI PHÁP THANH TOÁN ĐIỆN LỰC VÀ VIỄN THÔNG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6801 0000 318 995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BIDV – CHI NHÁNH LONG AN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LONG AN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Ba mươi bốn triệu, một trăm tám mươi bảy ngàn, một trăm hai mươi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65" t="s">
        <v>63</v>
      </c>
      <c r="O20" s="265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66" t="s">
        <v>64</v>
      </c>
      <c r="O21" s="266"/>
      <c r="P21" s="32"/>
    </row>
    <row r="22" spans="1:16">
      <c r="A22" s="18"/>
      <c r="B22" s="18"/>
      <c r="M22" s="31"/>
      <c r="N22" s="50">
        <f>IF($R$2="VNĐ",VLOOKUP("X1",DS,16,0),VLOOKUP("X1",DS,15,0))</f>
        <v>34187120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MKH: PB06030022841- Tiền điện kỳ 2 tháng 11 năm 2016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tabSelected="1" view="pageBreakPreview" zoomScaleSheetLayoutView="100" workbookViewId="0">
      <pane ySplit="18" topLeftCell="A19" activePane="bottomLeft" state="frozen"/>
      <selection pane="bottomLeft" activeCell="S2" sqref="S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2.28515625" style="1" customWidth="1"/>
    <col min="5" max="5" width="5.710937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7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8" customHeight="1" thickBot="1">
      <c r="A1" s="8" t="str">
        <f>IF($O$2="vnđ","p","p1")</f>
        <v>p</v>
      </c>
      <c r="N1" s="8"/>
    </row>
    <row r="2" spans="1:19" ht="21.75" customHeight="1" thickBot="1">
      <c r="O2" s="13" t="s">
        <v>29</v>
      </c>
      <c r="Q2" s="10">
        <v>42704</v>
      </c>
      <c r="R2" s="11"/>
      <c r="S2" s="12" t="s">
        <v>24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0    0   6   0    7    2"," 0    0    0    0    0   0   0    0   6   0    7    2")</f>
        <v xml:space="preserve"> 0    0    0    0    0   0   0    0   6   0    7    2</v>
      </c>
      <c r="L7" s="1" t="s">
        <v>7</v>
      </c>
    </row>
    <row r="8" spans="1:19" ht="22.5" customHeight="1">
      <c r="F8" s="267">
        <f>IF($O$2="VNĐ",VLOOKUP("X",DS,16,0),VLOOKUP("X",DS,15,0))</f>
        <v>20000000</v>
      </c>
      <c r="G8" s="267"/>
      <c r="K8" s="1" t="str">
        <f>IF(O2="vnđ","x","")</f>
        <v>x</v>
      </c>
      <c r="L8" s="1" t="str">
        <f>IF(O2="usd","x","")</f>
        <v/>
      </c>
    </row>
    <row r="9" spans="1:19" ht="17.25" customHeight="1">
      <c r="F9" s="1" t="str">
        <f>[1]!VND(F8,FALSE)&amp;IF($O$2="USD"," đô la mỹ."," đồng.")</f>
        <v>Hai mươi triệu đồng.</v>
      </c>
    </row>
    <row r="10" spans="1:19" ht="16.5" customHeight="1">
      <c r="G10" s="1" t="s">
        <v>3</v>
      </c>
    </row>
    <row r="11" spans="1:19" ht="17.25" customHeight="1">
      <c r="F11" s="1" t="str">
        <f>VLOOKUP("X",DS,14,0)</f>
        <v>Chuyển VNĐ</v>
      </c>
    </row>
    <row r="13" spans="1:19" ht="25.5" customHeight="1">
      <c r="F13" s="14" t="str">
        <f>VLOOKUP("X",DS,6,0)</f>
        <v>CTY TNHH HẢI SẢN AN LẠC</v>
      </c>
      <c r="G13" s="14"/>
    </row>
    <row r="14" spans="1:19" ht="17.25" customHeight="1"/>
    <row r="16" spans="1:19" ht="24" customHeight="1">
      <c r="C16" s="1" t="s">
        <v>3</v>
      </c>
      <c r="E16" s="1" t="str">
        <f>VLOOKUP("X",DS,7,0)</f>
        <v>1402 148 5100 9465</v>
      </c>
    </row>
    <row r="17" spans="5:5" ht="15" customHeight="1">
      <c r="E17" s="1" t="str">
        <f>VLOOKUP("X",DS,8,0)&amp;", "&amp;VLOOKUP("X",DS,9,0)</f>
        <v>Eximbank - CN Q4,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67">
        <f>VLOOKUP("X2",DS,16,0)</f>
        <v>1100000000</v>
      </c>
      <c r="F8" s="267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71">
        <f>VLOOKUP("X3",DS,11,0)</f>
        <v>41051</v>
      </c>
      <c r="M17" s="271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68" t="s">
        <v>63</v>
      </c>
      <c r="O21" s="269"/>
      <c r="P21" s="269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70" t="s">
        <v>64</v>
      </c>
      <c r="O22" s="266"/>
      <c r="P22" s="266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42509</v>
      </c>
      <c r="N1" s="131"/>
      <c r="O1" s="131">
        <v>42506</v>
      </c>
      <c r="P1" s="131">
        <v>42496</v>
      </c>
      <c r="Q1" s="131">
        <v>42508</v>
      </c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4"/>
      <c r="S3" s="275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52.181249999999999</v>
      </c>
      <c r="Q4" s="146">
        <f>DATEVALUE("6/"&amp;(MONTH($P$1)-1)&amp;"/16")</f>
        <v>42466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124.94771249999998</v>
      </c>
      <c r="Q5" s="146">
        <f t="shared" ref="Q5:Q7" si="0">DATEVALUE("6/"&amp;(MONTH($P$1)-1)&amp;"/16")</f>
        <v>42466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76.934849999999997</v>
      </c>
      <c r="Q6" s="146">
        <f t="shared" si="0"/>
        <v>42466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107.69767499999998</v>
      </c>
      <c r="Q7" s="146">
        <f t="shared" si="0"/>
        <v>42466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76" t="s">
        <v>288</v>
      </c>
      <c r="B9" s="276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361.76148749999993</v>
      </c>
      <c r="Q9" s="174"/>
      <c r="R9" s="177"/>
      <c r="S9" s="178"/>
    </row>
    <row r="10" spans="1:20" s="154" customFormat="1" ht="17.25" customHeight="1">
      <c r="A10" s="180">
        <f>ROW()-9</f>
        <v>1</v>
      </c>
      <c r="B10" s="181" t="s">
        <v>289</v>
      </c>
      <c r="C10" s="182">
        <v>42340</v>
      </c>
      <c r="D10" s="182">
        <v>42523</v>
      </c>
      <c r="E10" s="150"/>
      <c r="F10" s="150">
        <v>70900</v>
      </c>
      <c r="G10" s="183">
        <v>2019360000</v>
      </c>
      <c r="H10" s="182"/>
      <c r="I10" s="150"/>
      <c r="J10" s="150"/>
      <c r="K10" s="150"/>
      <c r="L10" s="150">
        <f>F10-J10</f>
        <v>70900</v>
      </c>
      <c r="M10" s="150"/>
      <c r="N10" s="150"/>
      <c r="O10" s="150">
        <f>IF((LEFT(B10,4)="1402"),F10*R10*DATEDIF(Q10,O$1,"d")/360,0)</f>
        <v>236.33333333333334</v>
      </c>
      <c r="P10" s="150">
        <f>IF((LEFT(B10,4)="1015"),F10*R10*DATEDIF(Q10,Q$1,"d")/360,0)</f>
        <v>0</v>
      </c>
      <c r="Q10" s="146">
        <f>DATEVALUE("16/"&amp;(MONTH($P$1)-1)&amp;"/16")</f>
        <v>42476</v>
      </c>
      <c r="R10" s="184">
        <v>0.04</v>
      </c>
      <c r="S10" s="185" t="s">
        <v>290</v>
      </c>
      <c r="T10" s="186"/>
    </row>
    <row r="11" spans="1:20" s="186" customFormat="1" ht="17.25" customHeight="1">
      <c r="A11" s="180">
        <f>ROW()-9</f>
        <v>2</v>
      </c>
      <c r="B11" s="187" t="s">
        <v>291</v>
      </c>
      <c r="C11" s="188">
        <v>42346</v>
      </c>
      <c r="D11" s="188">
        <v>42529</v>
      </c>
      <c r="E11" s="161"/>
      <c r="F11" s="161">
        <v>62000</v>
      </c>
      <c r="G11" s="189">
        <v>1737190000</v>
      </c>
      <c r="H11" s="188"/>
      <c r="I11" s="161"/>
      <c r="J11" s="161"/>
      <c r="K11" s="150"/>
      <c r="L11" s="150">
        <f>F11-J11</f>
        <v>62000</v>
      </c>
      <c r="M11" s="161"/>
      <c r="N11" s="161"/>
      <c r="O11" s="161">
        <f>IF((LEFT(B11,4)="1402"),F11*R11*DATEDIF(Q11,O$1,"d")/360,0)</f>
        <v>206.66666666666666</v>
      </c>
      <c r="P11" s="161">
        <f>IF((LEFT(B11,4)="1015"),F11*R11*DATEDIF(Q11,Q$1,"d")/360,0)</f>
        <v>0</v>
      </c>
      <c r="Q11" s="146">
        <f>DATEVALUE("16/"&amp;(MONTH($P$1)-1)&amp;"/16")</f>
        <v>42476</v>
      </c>
      <c r="R11" s="190">
        <v>0.04</v>
      </c>
      <c r="S11" s="191" t="s">
        <v>290</v>
      </c>
      <c r="T11" s="154"/>
    </row>
    <row r="12" spans="1:20" s="186" customFormat="1" ht="17.25" customHeight="1">
      <c r="A12" s="180">
        <f>ROW()-9</f>
        <v>3</v>
      </c>
      <c r="B12" s="187" t="s">
        <v>292</v>
      </c>
      <c r="C12" s="188">
        <v>42348</v>
      </c>
      <c r="D12" s="188">
        <v>42531</v>
      </c>
      <c r="E12" s="161"/>
      <c r="F12" s="161">
        <v>33000</v>
      </c>
      <c r="G12" s="189">
        <v>1737190000</v>
      </c>
      <c r="H12" s="188"/>
      <c r="I12" s="161"/>
      <c r="J12" s="161"/>
      <c r="K12" s="150"/>
      <c r="L12" s="150">
        <f>F12-J12</f>
        <v>33000</v>
      </c>
      <c r="M12" s="161"/>
      <c r="N12" s="161"/>
      <c r="O12" s="161">
        <f>IF((LEFT(B12,4)="1402"),F12*R12*DATEDIF(Q12,O$1,"d")/360,0)</f>
        <v>110</v>
      </c>
      <c r="P12" s="161">
        <f>IF((LEFT(B12,4)="1015"),F12*R12*DATEDIF(Q12,Q$1,"d")/360,0)</f>
        <v>0</v>
      </c>
      <c r="Q12" s="146">
        <f>DATEVALUE("16/"&amp;(MONTH($P$1)-1)&amp;"/16")</f>
        <v>42476</v>
      </c>
      <c r="R12" s="190">
        <v>0.04</v>
      </c>
      <c r="S12" s="191" t="s">
        <v>290</v>
      </c>
      <c r="T12" s="154"/>
    </row>
    <row r="13" spans="1:20" s="154" customFormat="1" ht="17.25" customHeight="1">
      <c r="A13" s="180">
        <f>ROW()-9</f>
        <v>4</v>
      </c>
      <c r="B13" s="187" t="s">
        <v>293</v>
      </c>
      <c r="C13" s="188">
        <v>42363</v>
      </c>
      <c r="D13" s="188">
        <v>42546</v>
      </c>
      <c r="E13" s="161"/>
      <c r="F13" s="161">
        <v>43000</v>
      </c>
      <c r="G13" s="189">
        <v>926064000</v>
      </c>
      <c r="H13" s="188"/>
      <c r="I13" s="161"/>
      <c r="J13" s="161"/>
      <c r="K13" s="150"/>
      <c r="L13" s="150">
        <f>F13-J13</f>
        <v>43000</v>
      </c>
      <c r="M13" s="161"/>
      <c r="N13" s="161"/>
      <c r="O13" s="161">
        <f>IF((LEFT(B13,4)="1402"),F13*R13*DATEDIF(Q13,O$1,"d")/360,0)</f>
        <v>143.33333333333334</v>
      </c>
      <c r="P13" s="161">
        <f>IF((LEFT(B13,4)="1015"),F13*R13*DATEDIF(Q13,Q$1,"d")/360,0)</f>
        <v>0</v>
      </c>
      <c r="Q13" s="146">
        <f>DATEVALUE("16/"&amp;(MONTH($P$1)-1)&amp;"/16")</f>
        <v>42476</v>
      </c>
      <c r="R13" s="190">
        <v>0.04</v>
      </c>
      <c r="S13" s="191" t="s">
        <v>290</v>
      </c>
    </row>
    <row r="14" spans="1:20" s="154" customFormat="1" ht="17.25" customHeight="1">
      <c r="A14" s="180">
        <f>ROW()-9</f>
        <v>5</v>
      </c>
      <c r="B14" s="181" t="s">
        <v>294</v>
      </c>
      <c r="C14" s="188">
        <v>42398</v>
      </c>
      <c r="D14" s="188">
        <v>42580</v>
      </c>
      <c r="E14" s="161"/>
      <c r="F14" s="161">
        <v>52300</v>
      </c>
      <c r="G14" s="189">
        <v>1151700000</v>
      </c>
      <c r="H14" s="188"/>
      <c r="I14" s="161"/>
      <c r="J14" s="161"/>
      <c r="K14" s="150"/>
      <c r="L14" s="150">
        <f>F14-J14</f>
        <v>52300</v>
      </c>
      <c r="M14" s="161"/>
      <c r="N14" s="161"/>
      <c r="O14" s="161">
        <f>IF((LEFT(B14,4)="1402"),F14*R14*DATEDIF(Q14,O$1,"d")/360,0)</f>
        <v>174.33333333333334</v>
      </c>
      <c r="P14" s="161">
        <f>IF((LEFT(B14,4)="1015"),F14*R14*DATEDIF(Q14,Q$1,"d")/360,0)</f>
        <v>0</v>
      </c>
      <c r="Q14" s="146">
        <f>DATEVALUE("16/"&amp;(MONTH($P$1)-1)&amp;"/16")</f>
        <v>42476</v>
      </c>
      <c r="R14" s="190">
        <v>0.04</v>
      </c>
      <c r="S14" s="191" t="s">
        <v>295</v>
      </c>
    </row>
    <row r="15" spans="1:20" s="154" customFormat="1" ht="17.25" customHeight="1">
      <c r="A15" s="192"/>
      <c r="B15" s="193"/>
      <c r="C15" s="194"/>
      <c r="D15" s="194"/>
      <c r="E15" s="195"/>
      <c r="F15" s="195"/>
      <c r="G15" s="196"/>
      <c r="H15" s="194"/>
      <c r="I15" s="195"/>
      <c r="J15" s="195"/>
      <c r="K15" s="195"/>
      <c r="L15" s="195"/>
      <c r="M15" s="195"/>
      <c r="N15" s="195"/>
      <c r="O15" s="195"/>
      <c r="P15" s="195"/>
      <c r="Q15" s="197"/>
      <c r="R15" s="198"/>
      <c r="S15" s="199"/>
    </row>
    <row r="16" spans="1:20" s="179" customFormat="1" ht="17.25" customHeight="1">
      <c r="A16" s="276" t="s">
        <v>296</v>
      </c>
      <c r="B16" s="276"/>
      <c r="C16" s="174"/>
      <c r="D16" s="174"/>
      <c r="E16" s="175"/>
      <c r="F16" s="176">
        <f>SUM(F10:F15)</f>
        <v>261200</v>
      </c>
      <c r="G16" s="175">
        <f>SUM(G9:G13)</f>
        <v>6419804000</v>
      </c>
      <c r="H16" s="176"/>
      <c r="I16" s="175"/>
      <c r="J16" s="176">
        <f>SUM(J10:J15)</f>
        <v>0</v>
      </c>
      <c r="K16" s="175"/>
      <c r="L16" s="176">
        <f>SUM(L10:L15)</f>
        <v>261200</v>
      </c>
      <c r="M16" s="175"/>
      <c r="N16" s="175">
        <f>SUM(N9:N13)</f>
        <v>0</v>
      </c>
      <c r="O16" s="176">
        <f>SUM(O10:O15)</f>
        <v>870.66666666666674</v>
      </c>
      <c r="P16" s="176">
        <f>SUM(P10:P15)</f>
        <v>0</v>
      </c>
      <c r="Q16" s="174"/>
      <c r="R16" s="177"/>
      <c r="S16" s="178"/>
    </row>
    <row r="17" spans="1:20" s="154" customFormat="1" ht="17.25" customHeight="1">
      <c r="A17" s="180">
        <f>ROW()-16</f>
        <v>1</v>
      </c>
      <c r="B17" s="156" t="s">
        <v>297</v>
      </c>
      <c r="C17" s="157">
        <v>42278</v>
      </c>
      <c r="D17" s="157">
        <v>42552</v>
      </c>
      <c r="E17" s="158"/>
      <c r="F17" s="158">
        <v>89500</v>
      </c>
      <c r="G17" s="159">
        <v>1894165000</v>
      </c>
      <c r="H17" s="157"/>
      <c r="I17" s="158"/>
      <c r="J17" s="158"/>
      <c r="K17" s="150"/>
      <c r="L17" s="147">
        <f t="shared" ref="L17:L24" si="1">F17-J17</f>
        <v>89500</v>
      </c>
      <c r="M17" s="158"/>
      <c r="N17" s="158"/>
      <c r="O17" s="158">
        <f t="shared" ref="O17:O24" si="2">IF((LEFT(B17,4)="1402"),F17*R17*DATEDIF(Q17,O$1,"d")/360,0)</f>
        <v>0</v>
      </c>
      <c r="P17" s="158">
        <f t="shared" ref="P17:P24" si="3">IF((LEFT(B17,4)="1015"),F17*R17*DATEDIF(Q17,Q$1,"d")/360,0)</f>
        <v>298.33333333333331</v>
      </c>
      <c r="Q17" s="146">
        <f>DATEVALUE("18/"&amp;(MONTH($P$1)-1)&amp;"/16")</f>
        <v>42478</v>
      </c>
      <c r="R17" s="200">
        <v>0.04</v>
      </c>
      <c r="S17" s="191" t="s">
        <v>298</v>
      </c>
      <c r="T17" s="186"/>
    </row>
    <row r="18" spans="1:20" s="154" customFormat="1" ht="17.25" customHeight="1">
      <c r="A18" s="180">
        <f t="shared" ref="A18:A24" si="4">ROW()-16</f>
        <v>2</v>
      </c>
      <c r="B18" s="156" t="s">
        <v>299</v>
      </c>
      <c r="C18" s="157">
        <v>42279</v>
      </c>
      <c r="D18" s="157">
        <v>42553</v>
      </c>
      <c r="E18" s="158"/>
      <c r="F18" s="158">
        <v>89000</v>
      </c>
      <c r="G18" s="159"/>
      <c r="H18" s="157"/>
      <c r="I18" s="158"/>
      <c r="J18" s="158"/>
      <c r="K18" s="150"/>
      <c r="L18" s="147">
        <f t="shared" si="1"/>
        <v>89000</v>
      </c>
      <c r="M18" s="158"/>
      <c r="N18" s="158"/>
      <c r="O18" s="158">
        <f t="shared" si="2"/>
        <v>0</v>
      </c>
      <c r="P18" s="158">
        <f t="shared" si="3"/>
        <v>296.66666666666669</v>
      </c>
      <c r="Q18" s="146">
        <f>DATEVALUE("18/"&amp;(MONTH($P$1)-1)&amp;"/16")</f>
        <v>42478</v>
      </c>
      <c r="R18" s="200">
        <v>0.04</v>
      </c>
      <c r="S18" s="163"/>
    </row>
    <row r="19" spans="1:20" s="154" customFormat="1" ht="17.25" customHeight="1">
      <c r="A19" s="180">
        <f t="shared" si="4"/>
        <v>3</v>
      </c>
      <c r="B19" s="156" t="s">
        <v>300</v>
      </c>
      <c r="C19" s="157">
        <v>42328</v>
      </c>
      <c r="D19" s="157">
        <v>42602</v>
      </c>
      <c r="E19" s="158"/>
      <c r="F19" s="158">
        <v>61000</v>
      </c>
      <c r="G19" s="159"/>
      <c r="H19" s="157"/>
      <c r="I19" s="158"/>
      <c r="J19" s="158"/>
      <c r="K19" s="150"/>
      <c r="L19" s="147">
        <f t="shared" si="1"/>
        <v>61000</v>
      </c>
      <c r="M19" s="158"/>
      <c r="N19" s="158"/>
      <c r="O19" s="158">
        <f t="shared" si="2"/>
        <v>0</v>
      </c>
      <c r="P19" s="158">
        <f t="shared" si="3"/>
        <v>203.33333333333334</v>
      </c>
      <c r="Q19" s="146">
        <f>DATEVALUE("18/"&amp;(MONTH($P$1)-1)&amp;"/16")</f>
        <v>42478</v>
      </c>
      <c r="R19" s="200">
        <v>0.04</v>
      </c>
      <c r="S19" s="163"/>
    </row>
    <row r="20" spans="1:20" s="154" customFormat="1" ht="17.25" customHeight="1">
      <c r="A20" s="180">
        <f t="shared" si="4"/>
        <v>4</v>
      </c>
      <c r="B20" s="156" t="s">
        <v>301</v>
      </c>
      <c r="C20" s="157">
        <v>42339</v>
      </c>
      <c r="D20" s="157">
        <v>42614</v>
      </c>
      <c r="E20" s="158"/>
      <c r="F20" s="158">
        <v>89000</v>
      </c>
      <c r="G20" s="159"/>
      <c r="H20" s="157"/>
      <c r="I20" s="158"/>
      <c r="J20" s="158"/>
      <c r="K20" s="150"/>
      <c r="L20" s="147">
        <f t="shared" si="1"/>
        <v>89000</v>
      </c>
      <c r="M20" s="158"/>
      <c r="N20" s="158"/>
      <c r="O20" s="158">
        <f t="shared" si="2"/>
        <v>0</v>
      </c>
      <c r="P20" s="158">
        <f t="shared" si="3"/>
        <v>296.66666666666669</v>
      </c>
      <c r="Q20" s="146">
        <f>DATEVALUE("18/"&amp;(MONTH($P$1)-1)&amp;"/16")</f>
        <v>42478</v>
      </c>
      <c r="R20" s="200">
        <v>0.04</v>
      </c>
      <c r="S20" s="163"/>
    </row>
    <row r="21" spans="1:20" s="186" customFormat="1" ht="17.25" customHeight="1">
      <c r="A21" s="180">
        <f t="shared" si="4"/>
        <v>5</v>
      </c>
      <c r="B21" s="156" t="s">
        <v>302</v>
      </c>
      <c r="C21" s="157">
        <v>42360</v>
      </c>
      <c r="D21" s="157">
        <v>42635</v>
      </c>
      <c r="E21" s="158"/>
      <c r="F21" s="158">
        <v>88000</v>
      </c>
      <c r="G21" s="159">
        <v>2015900000</v>
      </c>
      <c r="H21" s="157"/>
      <c r="I21" s="158"/>
      <c r="J21" s="158"/>
      <c r="K21" s="150"/>
      <c r="L21" s="147">
        <f t="shared" si="1"/>
        <v>88000</v>
      </c>
      <c r="M21" s="158"/>
      <c r="N21" s="158"/>
      <c r="O21" s="158">
        <f t="shared" si="2"/>
        <v>0</v>
      </c>
      <c r="P21" s="158">
        <f t="shared" si="3"/>
        <v>293.33333333333331</v>
      </c>
      <c r="Q21" s="146">
        <f t="shared" ref="Q21:Q24" si="5">DATEVALUE("18/"&amp;(MONTH($P$1)-1)&amp;"/16")</f>
        <v>42478</v>
      </c>
      <c r="R21" s="200">
        <v>0.04</v>
      </c>
      <c r="S21" s="191" t="s">
        <v>303</v>
      </c>
    </row>
    <row r="22" spans="1:20" s="154" customFormat="1" ht="17.25" customHeight="1">
      <c r="A22" s="180">
        <f t="shared" si="4"/>
        <v>6</v>
      </c>
      <c r="B22" s="156" t="s">
        <v>304</v>
      </c>
      <c r="C22" s="157">
        <v>42394</v>
      </c>
      <c r="D22" s="157">
        <v>42668</v>
      </c>
      <c r="E22" s="158"/>
      <c r="F22" s="158">
        <v>97000</v>
      </c>
      <c r="G22" s="159">
        <v>1965255000</v>
      </c>
      <c r="H22" s="157"/>
      <c r="I22" s="158"/>
      <c r="J22" s="158"/>
      <c r="K22" s="147"/>
      <c r="L22" s="147">
        <f t="shared" si="1"/>
        <v>97000</v>
      </c>
      <c r="M22" s="158"/>
      <c r="N22" s="158"/>
      <c r="O22" s="158">
        <f t="shared" si="2"/>
        <v>0</v>
      </c>
      <c r="P22" s="158">
        <f t="shared" si="3"/>
        <v>323.33333333333331</v>
      </c>
      <c r="Q22" s="146">
        <f t="shared" si="5"/>
        <v>42478</v>
      </c>
      <c r="R22" s="200">
        <v>0.04</v>
      </c>
      <c r="S22" s="163" t="s">
        <v>305</v>
      </c>
    </row>
    <row r="23" spans="1:20" s="154" customFormat="1" ht="17.25" customHeight="1">
      <c r="A23" s="180">
        <f t="shared" si="4"/>
        <v>7</v>
      </c>
      <c r="B23" s="156" t="s">
        <v>306</v>
      </c>
      <c r="C23" s="157">
        <v>42436</v>
      </c>
      <c r="D23" s="157">
        <v>42711</v>
      </c>
      <c r="E23" s="158"/>
      <c r="F23" s="158">
        <v>82000</v>
      </c>
      <c r="G23" s="159">
        <v>1894165000</v>
      </c>
      <c r="H23" s="157"/>
      <c r="I23" s="158"/>
      <c r="J23" s="158"/>
      <c r="K23" s="147"/>
      <c r="L23" s="147">
        <f t="shared" si="1"/>
        <v>82000</v>
      </c>
      <c r="M23" s="158"/>
      <c r="N23" s="158"/>
      <c r="O23" s="158">
        <f t="shared" si="2"/>
        <v>0</v>
      </c>
      <c r="P23" s="158">
        <f t="shared" si="3"/>
        <v>273.33333333333331</v>
      </c>
      <c r="Q23" s="146">
        <f t="shared" si="5"/>
        <v>42478</v>
      </c>
      <c r="R23" s="200">
        <v>0.04</v>
      </c>
      <c r="S23" s="163" t="s">
        <v>307</v>
      </c>
    </row>
    <row r="24" spans="1:20" s="154" customFormat="1" ht="17.25" customHeight="1">
      <c r="A24" s="180">
        <f t="shared" si="4"/>
        <v>8</v>
      </c>
      <c r="B24" s="156" t="s">
        <v>308</v>
      </c>
      <c r="C24" s="201">
        <v>42437</v>
      </c>
      <c r="D24" s="157">
        <v>42712</v>
      </c>
      <c r="E24" s="202"/>
      <c r="F24" s="202">
        <v>90000</v>
      </c>
      <c r="G24" s="203">
        <v>1997238540</v>
      </c>
      <c r="H24" s="201"/>
      <c r="I24" s="202"/>
      <c r="J24" s="202"/>
      <c r="K24" s="147"/>
      <c r="L24" s="147">
        <f t="shared" si="1"/>
        <v>90000</v>
      </c>
      <c r="M24" s="202"/>
      <c r="N24" s="202"/>
      <c r="O24" s="158">
        <f t="shared" si="2"/>
        <v>0</v>
      </c>
      <c r="P24" s="158">
        <f t="shared" si="3"/>
        <v>300</v>
      </c>
      <c r="Q24" s="146">
        <f t="shared" si="5"/>
        <v>42478</v>
      </c>
      <c r="R24" s="200">
        <v>0.04</v>
      </c>
      <c r="S24" s="191" t="s">
        <v>309</v>
      </c>
    </row>
    <row r="25" spans="1:20" s="154" customFormat="1" ht="17.25" customHeight="1">
      <c r="A25" s="164"/>
      <c r="B25" s="165"/>
      <c r="C25" s="166"/>
      <c r="D25" s="166"/>
      <c r="E25" s="167"/>
      <c r="F25" s="167"/>
      <c r="G25" s="168"/>
      <c r="H25" s="166"/>
      <c r="I25" s="167"/>
      <c r="J25" s="167"/>
      <c r="K25" s="167"/>
      <c r="L25" s="167"/>
      <c r="M25" s="167"/>
      <c r="N25" s="167"/>
      <c r="O25" s="167"/>
      <c r="P25" s="167"/>
      <c r="Q25" s="166"/>
      <c r="R25" s="204"/>
      <c r="S25" s="173"/>
    </row>
    <row r="26" spans="1:20" s="208" customFormat="1" ht="17.25" customHeight="1">
      <c r="A26" s="272" t="s">
        <v>288</v>
      </c>
      <c r="B26" s="272"/>
      <c r="C26" s="205"/>
      <c r="D26" s="205"/>
      <c r="E26" s="176">
        <f>SUM(E10:E25)</f>
        <v>0</v>
      </c>
      <c r="F26" s="176">
        <f>SUM(F17:F25)</f>
        <v>685500</v>
      </c>
      <c r="G26" s="175">
        <f>SUM(G10:G23)</f>
        <v>21760793000</v>
      </c>
      <c r="H26" s="174"/>
      <c r="I26" s="176">
        <f>SUM(I17:I25)</f>
        <v>0</v>
      </c>
      <c r="J26" s="176">
        <f>SUM(J17:J25)</f>
        <v>0</v>
      </c>
      <c r="K26" s="176">
        <f>SUM(K17:K25)</f>
        <v>0</v>
      </c>
      <c r="L26" s="176">
        <f>SUM(L17:L25)</f>
        <v>685500</v>
      </c>
      <c r="M26" s="176">
        <f>SUM(M10:M21)</f>
        <v>0</v>
      </c>
      <c r="N26" s="176"/>
      <c r="O26" s="176">
        <f>SUM(O17:O25)</f>
        <v>0</v>
      </c>
      <c r="P26" s="176">
        <f>SUM(P17:P25)</f>
        <v>2285</v>
      </c>
      <c r="Q26" s="206"/>
      <c r="R26" s="207"/>
      <c r="S26" s="178"/>
    </row>
    <row r="27" spans="1:20" s="186" customFormat="1" ht="17.25" customHeight="1">
      <c r="A27" s="180">
        <f>ROW()-26</f>
        <v>1</v>
      </c>
      <c r="B27" s="187" t="s">
        <v>310</v>
      </c>
      <c r="C27" s="188">
        <v>41870</v>
      </c>
      <c r="D27" s="188">
        <v>46253</v>
      </c>
      <c r="E27" s="189">
        <v>1000000000</v>
      </c>
      <c r="F27" s="161"/>
      <c r="G27" s="189">
        <v>1151700000</v>
      </c>
      <c r="H27" s="188">
        <v>42632</v>
      </c>
      <c r="I27" s="189">
        <v>8340000</v>
      </c>
      <c r="J27" s="161"/>
      <c r="K27" s="189">
        <f t="shared" ref="K27:K41" si="6">E27-I27</f>
        <v>991660000</v>
      </c>
      <c r="L27" s="161"/>
      <c r="M27" s="189">
        <f t="shared" ref="M27:M41" si="7">IF((LEFT(B27,4)="1402"),E27*R27*DATEDIF(Q27,$M$1,"d")/360,0)</f>
        <v>7916666.666666667</v>
      </c>
      <c r="N27" s="161"/>
      <c r="O27" s="161">
        <f t="shared" ref="O27:O40" si="8">IF((LEFT(B27,4)="1402"),F27*R27*DATEDIF(Q27,O$1,"d")/360,0)</f>
        <v>0</v>
      </c>
      <c r="P27" s="161">
        <f t="shared" ref="P27:P41" si="9">IF((LEFT(B27,4)="1015"),F27*R27*DATEDIF(Q27,Q$1,"d")/360,0)</f>
        <v>0</v>
      </c>
      <c r="Q27" s="209">
        <f>DATEVALUE("19/"&amp;(MONTH($P$1)-1)&amp;"/16")</f>
        <v>42479</v>
      </c>
      <c r="R27" s="190">
        <v>9.5000000000000001E-2</v>
      </c>
      <c r="S27" s="210" t="s">
        <v>311</v>
      </c>
    </row>
    <row r="28" spans="1:20" s="186" customFormat="1" ht="17.25" customHeight="1">
      <c r="A28" s="180">
        <f t="shared" ref="A28:A41" si="10">ROW()-26</f>
        <v>2</v>
      </c>
      <c r="B28" s="187" t="s">
        <v>312</v>
      </c>
      <c r="C28" s="188">
        <v>41905</v>
      </c>
      <c r="D28" s="188">
        <v>46253</v>
      </c>
      <c r="E28" s="189">
        <v>2000000000</v>
      </c>
      <c r="F28" s="161"/>
      <c r="G28" s="189">
        <v>1894165000</v>
      </c>
      <c r="H28" s="188">
        <v>42632</v>
      </c>
      <c r="I28" s="189">
        <v>16670000</v>
      </c>
      <c r="J28" s="161"/>
      <c r="K28" s="189">
        <f t="shared" si="6"/>
        <v>1983330000</v>
      </c>
      <c r="L28" s="161"/>
      <c r="M28" s="189">
        <f t="shared" si="7"/>
        <v>15833333.333333334</v>
      </c>
      <c r="N28" s="161"/>
      <c r="O28" s="161">
        <f t="shared" si="8"/>
        <v>0</v>
      </c>
      <c r="P28" s="161">
        <f t="shared" si="9"/>
        <v>0</v>
      </c>
      <c r="Q28" s="209">
        <f t="shared" ref="Q28:Q40" si="11">DATEVALUE("19/"&amp;(MONTH($P$1)-1)&amp;"/16")</f>
        <v>42479</v>
      </c>
      <c r="R28" s="190">
        <v>9.5000000000000001E-2</v>
      </c>
      <c r="S28" s="191" t="s">
        <v>311</v>
      </c>
    </row>
    <row r="29" spans="1:20" s="186" customFormat="1" ht="17.25" customHeight="1">
      <c r="A29" s="180">
        <f t="shared" si="10"/>
        <v>3</v>
      </c>
      <c r="B29" s="187" t="s">
        <v>313</v>
      </c>
      <c r="C29" s="211">
        <v>41934</v>
      </c>
      <c r="D29" s="188">
        <v>46253</v>
      </c>
      <c r="E29" s="212">
        <v>1600000000</v>
      </c>
      <c r="F29" s="213"/>
      <c r="G29" s="212"/>
      <c r="H29" s="188">
        <v>42632</v>
      </c>
      <c r="I29" s="212">
        <v>13340000</v>
      </c>
      <c r="J29" s="213"/>
      <c r="K29" s="189">
        <f t="shared" si="6"/>
        <v>1586660000</v>
      </c>
      <c r="L29" s="213"/>
      <c r="M29" s="189">
        <f t="shared" si="7"/>
        <v>12666666.666666666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42479</v>
      </c>
      <c r="R29" s="190">
        <v>9.5000000000000001E-2</v>
      </c>
      <c r="S29" s="191" t="s">
        <v>311</v>
      </c>
    </row>
    <row r="30" spans="1:20" s="186" customFormat="1" ht="17.25" customHeight="1">
      <c r="A30" s="180">
        <f t="shared" si="10"/>
        <v>4</v>
      </c>
      <c r="B30" s="187" t="s">
        <v>314</v>
      </c>
      <c r="C30" s="211">
        <v>41963</v>
      </c>
      <c r="D30" s="188">
        <v>46253</v>
      </c>
      <c r="E30" s="212">
        <v>1500000000</v>
      </c>
      <c r="F30" s="213"/>
      <c r="G30" s="212"/>
      <c r="H30" s="188">
        <v>42632</v>
      </c>
      <c r="I30" s="212">
        <v>12500000</v>
      </c>
      <c r="J30" s="213"/>
      <c r="K30" s="189">
        <f t="shared" si="6"/>
        <v>1487500000</v>
      </c>
      <c r="L30" s="213"/>
      <c r="M30" s="189">
        <f t="shared" si="7"/>
        <v>11875000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42479</v>
      </c>
      <c r="R30" s="190">
        <v>9.5000000000000001E-2</v>
      </c>
      <c r="S30" s="191" t="s">
        <v>311</v>
      </c>
    </row>
    <row r="31" spans="1:20" s="186" customFormat="1" ht="17.25" customHeight="1">
      <c r="A31" s="180">
        <f t="shared" si="10"/>
        <v>5</v>
      </c>
      <c r="B31" s="187" t="s">
        <v>315</v>
      </c>
      <c r="C31" s="211">
        <v>41984</v>
      </c>
      <c r="D31" s="188">
        <v>46253</v>
      </c>
      <c r="E31" s="212">
        <v>1000000000</v>
      </c>
      <c r="F31" s="213"/>
      <c r="G31" s="212"/>
      <c r="H31" s="188">
        <v>42632</v>
      </c>
      <c r="I31" s="212">
        <v>8330000</v>
      </c>
      <c r="J31" s="213"/>
      <c r="K31" s="212">
        <f t="shared" si="6"/>
        <v>991670000</v>
      </c>
      <c r="L31" s="213"/>
      <c r="M31" s="189">
        <f t="shared" si="7"/>
        <v>7916666.666666667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42479</v>
      </c>
      <c r="R31" s="190">
        <v>9.5000000000000001E-2</v>
      </c>
      <c r="S31" s="191" t="s">
        <v>311</v>
      </c>
    </row>
    <row r="32" spans="1:20" s="186" customFormat="1" ht="17.25" customHeight="1">
      <c r="A32" s="180">
        <f t="shared" si="10"/>
        <v>6</v>
      </c>
      <c r="B32" s="187" t="s">
        <v>316</v>
      </c>
      <c r="C32" s="211">
        <v>42033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6"/>
        <v>1487500000</v>
      </c>
      <c r="L32" s="213"/>
      <c r="M32" s="189">
        <f t="shared" si="7"/>
        <v>11875000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42479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317</v>
      </c>
      <c r="C33" s="211">
        <v>42088</v>
      </c>
      <c r="D33" s="188">
        <v>46253</v>
      </c>
      <c r="E33" s="212">
        <v>2000000000</v>
      </c>
      <c r="F33" s="213"/>
      <c r="G33" s="212"/>
      <c r="H33" s="188">
        <v>42632</v>
      </c>
      <c r="I33" s="212">
        <v>16670000</v>
      </c>
      <c r="J33" s="213"/>
      <c r="K33" s="212">
        <f t="shared" si="6"/>
        <v>1983330000</v>
      </c>
      <c r="L33" s="213"/>
      <c r="M33" s="189">
        <f t="shared" si="7"/>
        <v>15833333.333333334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42479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318</v>
      </c>
      <c r="C34" s="211">
        <v>42114</v>
      </c>
      <c r="D34" s="188">
        <v>46253</v>
      </c>
      <c r="E34" s="212">
        <v>1400000000</v>
      </c>
      <c r="F34" s="213"/>
      <c r="G34" s="212"/>
      <c r="H34" s="211">
        <v>42632</v>
      </c>
      <c r="I34" s="212">
        <v>11670000</v>
      </c>
      <c r="J34" s="213"/>
      <c r="K34" s="212">
        <f t="shared" si="6"/>
        <v>1388330000</v>
      </c>
      <c r="L34" s="213"/>
      <c r="M34" s="189">
        <f t="shared" si="7"/>
        <v>11083333.333333334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42479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319</v>
      </c>
      <c r="C35" s="211">
        <v>42138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11875000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42479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320</v>
      </c>
      <c r="C36" s="211">
        <v>42164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11875000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42479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321</v>
      </c>
      <c r="C37" s="211">
        <v>42187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11875000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42479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322</v>
      </c>
      <c r="C38" s="211">
        <v>42195</v>
      </c>
      <c r="D38" s="188">
        <v>46253</v>
      </c>
      <c r="E38" s="212">
        <v>1500000000</v>
      </c>
      <c r="F38" s="213"/>
      <c r="G38" s="212"/>
      <c r="H38" s="211">
        <v>42632</v>
      </c>
      <c r="I38" s="212">
        <v>12500000</v>
      </c>
      <c r="J38" s="213"/>
      <c r="K38" s="212">
        <f t="shared" si="6"/>
        <v>1487500000</v>
      </c>
      <c r="L38" s="213"/>
      <c r="M38" s="189">
        <f t="shared" si="7"/>
        <v>11875000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42479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323</v>
      </c>
      <c r="C39" s="211">
        <v>42215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7916666.666666667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42479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324</v>
      </c>
      <c r="C40" s="211">
        <v>42229</v>
      </c>
      <c r="D40" s="188">
        <v>46253</v>
      </c>
      <c r="E40" s="212">
        <v>1000000000</v>
      </c>
      <c r="F40" s="213"/>
      <c r="G40" s="212"/>
      <c r="H40" s="211">
        <v>42632</v>
      </c>
      <c r="I40" s="212">
        <v>8330000</v>
      </c>
      <c r="J40" s="213"/>
      <c r="K40" s="212">
        <f t="shared" si="6"/>
        <v>991670000</v>
      </c>
      <c r="L40" s="213"/>
      <c r="M40" s="189">
        <f t="shared" si="7"/>
        <v>7916666.666666667</v>
      </c>
      <c r="N40" s="213"/>
      <c r="O40" s="161">
        <f t="shared" si="8"/>
        <v>0</v>
      </c>
      <c r="P40" s="161">
        <f t="shared" si="9"/>
        <v>0</v>
      </c>
      <c r="Q40" s="209">
        <f t="shared" si="11"/>
        <v>42479</v>
      </c>
      <c r="R40" s="190">
        <v>9.5000000000000001E-2</v>
      </c>
      <c r="S40" s="191" t="s">
        <v>311</v>
      </c>
    </row>
    <row r="41" spans="1:19" s="186" customFormat="1" ht="17.25" customHeight="1">
      <c r="A41" s="180">
        <f t="shared" si="10"/>
        <v>15</v>
      </c>
      <c r="B41" s="187" t="s">
        <v>325</v>
      </c>
      <c r="C41" s="211">
        <v>42362</v>
      </c>
      <c r="D41" s="211">
        <v>42545</v>
      </c>
      <c r="E41" s="212"/>
      <c r="F41" s="213">
        <v>88000</v>
      </c>
      <c r="G41" s="212"/>
      <c r="H41" s="211"/>
      <c r="I41" s="212"/>
      <c r="J41" s="213"/>
      <c r="K41" s="212">
        <f t="shared" si="6"/>
        <v>0</v>
      </c>
      <c r="L41" s="213">
        <f>F41</f>
        <v>88000</v>
      </c>
      <c r="M41" s="189">
        <f t="shared" si="7"/>
        <v>0</v>
      </c>
      <c r="N41" s="213"/>
      <c r="O41" s="161">
        <f>IF((LEFT(B41,4)="1402"),F41*R41*DATEDIF(Q41,O$1,"d")/360,0)</f>
        <v>293.33333333333331</v>
      </c>
      <c r="P41" s="161">
        <f t="shared" si="9"/>
        <v>0</v>
      </c>
      <c r="Q41" s="209">
        <f>DATEVALUE("16/"&amp;(MONTH($P$1)-1)&amp;"/16")</f>
        <v>42476</v>
      </c>
      <c r="R41" s="190">
        <v>0.04</v>
      </c>
      <c r="S41" s="191"/>
    </row>
    <row r="42" spans="1:19" s="186" customFormat="1" ht="17.25" hidden="1" customHeight="1">
      <c r="A42" s="180"/>
      <c r="B42" s="187"/>
      <c r="C42" s="211"/>
      <c r="D42" s="211"/>
      <c r="E42" s="212"/>
      <c r="F42" s="213"/>
      <c r="G42" s="212"/>
      <c r="H42" s="211"/>
      <c r="I42" s="212"/>
      <c r="J42" s="213"/>
      <c r="K42" s="212"/>
      <c r="L42" s="213"/>
      <c r="M42" s="212"/>
      <c r="N42" s="213"/>
      <c r="O42" s="213"/>
      <c r="P42" s="213"/>
      <c r="Q42" s="209"/>
      <c r="R42" s="190"/>
      <c r="S42" s="191"/>
    </row>
    <row r="43" spans="1:19" s="154" customFormat="1" ht="17.25" customHeight="1">
      <c r="A43" s="144"/>
      <c r="B43" s="156"/>
      <c r="C43" s="201"/>
      <c r="D43" s="201"/>
      <c r="E43" s="203"/>
      <c r="F43" s="202"/>
      <c r="G43" s="203"/>
      <c r="H43" s="201"/>
      <c r="I43" s="203"/>
      <c r="J43" s="202"/>
      <c r="K43" s="203"/>
      <c r="L43" s="202"/>
      <c r="M43" s="203"/>
      <c r="N43" s="202"/>
      <c r="O43" s="202"/>
      <c r="P43" s="202"/>
      <c r="Q43" s="146"/>
      <c r="R43" s="200"/>
      <c r="S43" s="163"/>
    </row>
    <row r="44" spans="1:19" s="208" customFormat="1" ht="17.25" customHeight="1">
      <c r="A44" s="272" t="s">
        <v>326</v>
      </c>
      <c r="B44" s="272"/>
      <c r="C44" s="205"/>
      <c r="D44" s="205"/>
      <c r="E44" s="175">
        <f>SUM(E27:E43)</f>
        <v>20000000000</v>
      </c>
      <c r="F44" s="176">
        <f>SUM(F27:F43)</f>
        <v>88000</v>
      </c>
      <c r="G44" s="175">
        <f>SUM(G27:G43)</f>
        <v>3045865000</v>
      </c>
      <c r="H44" s="176"/>
      <c r="I44" s="175">
        <f t="shared" ref="I44:P44" si="12">SUM(I27:I43)</f>
        <v>166680000</v>
      </c>
      <c r="J44" s="176">
        <f t="shared" si="12"/>
        <v>0</v>
      </c>
      <c r="K44" s="175">
        <f t="shared" si="12"/>
        <v>19833320000</v>
      </c>
      <c r="L44" s="176">
        <f t="shared" si="12"/>
        <v>88000</v>
      </c>
      <c r="M44" s="175">
        <f t="shared" si="12"/>
        <v>158333333.33333331</v>
      </c>
      <c r="N44" s="176">
        <f t="shared" si="12"/>
        <v>0</v>
      </c>
      <c r="O44" s="176">
        <f t="shared" si="12"/>
        <v>293.33333333333331</v>
      </c>
      <c r="P44" s="176">
        <f t="shared" si="12"/>
        <v>0</v>
      </c>
      <c r="Q44" s="206"/>
      <c r="R44" s="207"/>
      <c r="S44" s="178"/>
    </row>
    <row r="45" spans="1:19" ht="17.25" customHeight="1">
      <c r="F45" s="218"/>
    </row>
    <row r="46" spans="1:19" ht="17.25" customHeight="1">
      <c r="F46" s="215"/>
    </row>
    <row r="47" spans="1:19" ht="17.25" customHeight="1">
      <c r="F47" s="215"/>
    </row>
    <row r="48" spans="1:19" ht="17.25" customHeight="1">
      <c r="F48" s="215"/>
    </row>
    <row r="50" spans="1:19" ht="17.25" customHeight="1">
      <c r="F50" s="218"/>
    </row>
    <row r="58" spans="1:19" s="223" customFormat="1" ht="17.25" customHeight="1">
      <c r="A58" s="214"/>
      <c r="B58" s="215"/>
      <c r="C58" s="216"/>
      <c r="D58" s="216"/>
      <c r="E58" s="217"/>
      <c r="F58" s="221"/>
      <c r="G58" s="217"/>
      <c r="H58" s="219"/>
      <c r="I58" s="220"/>
      <c r="J58" s="220"/>
      <c r="K58" s="217"/>
      <c r="L58" s="221"/>
      <c r="M58" s="225"/>
      <c r="N58" s="225"/>
      <c r="O58" s="225"/>
      <c r="Q58" s="224"/>
      <c r="R58" s="224"/>
      <c r="S58" s="214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4"/>
      <c r="S3" s="275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76" t="s">
        <v>288</v>
      </c>
      <c r="B9" s="276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76" t="s">
        <v>296</v>
      </c>
      <c r="B15" s="276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>ROW()-15</f>
        <v>1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1">F16-J16</f>
        <v>89500</v>
      </c>
      <c r="M16" s="158"/>
      <c r="N16" s="158"/>
      <c r="O16" s="158">
        <f t="shared" ref="O16:O23" si="2">IF((LEFT(B16,4)="1402"),F16*R16*DATEDIF(Q16,O$1,"d")/360,0)</f>
        <v>0</v>
      </c>
      <c r="P16" s="158">
        <f t="shared" ref="P16:P23" si="3">IF((LEFT(B16,4)="1015"),F16*R16*DATEDIF(Q16,Q$1,"d")/360,0)</f>
        <v>308.27777777777777</v>
      </c>
      <c r="Q16" s="146">
        <f t="shared" ref="Q16:Q23" si="4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ref="A17:A23" si="5">ROW()-15</f>
        <v>2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1"/>
        <v>89000</v>
      </c>
      <c r="M17" s="158"/>
      <c r="N17" s="158"/>
      <c r="O17" s="158">
        <f t="shared" si="2"/>
        <v>0</v>
      </c>
      <c r="P17" s="158">
        <f t="shared" si="3"/>
        <v>306.55555555555554</v>
      </c>
      <c r="Q17" s="146">
        <f t="shared" si="4"/>
        <v>42508</v>
      </c>
      <c r="R17" s="200">
        <v>0.04</v>
      </c>
      <c r="S17" s="163"/>
    </row>
    <row r="18" spans="1:19" s="154" customFormat="1" ht="17.25" customHeight="1">
      <c r="A18" s="180">
        <f t="shared" si="5"/>
        <v>3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1"/>
        <v>61000</v>
      </c>
      <c r="M18" s="158"/>
      <c r="N18" s="158"/>
      <c r="O18" s="158">
        <f t="shared" si="2"/>
        <v>0</v>
      </c>
      <c r="P18" s="158">
        <f t="shared" si="3"/>
        <v>210.11111111111111</v>
      </c>
      <c r="Q18" s="146">
        <f t="shared" si="4"/>
        <v>42508</v>
      </c>
      <c r="R18" s="200">
        <v>0.04</v>
      </c>
      <c r="S18" s="163"/>
    </row>
    <row r="19" spans="1:19" s="154" customFormat="1" ht="17.25" customHeight="1">
      <c r="A19" s="180">
        <f t="shared" si="5"/>
        <v>4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1"/>
        <v>89000</v>
      </c>
      <c r="M19" s="158"/>
      <c r="N19" s="158"/>
      <c r="O19" s="158">
        <f t="shared" si="2"/>
        <v>0</v>
      </c>
      <c r="P19" s="158">
        <f t="shared" si="3"/>
        <v>306.55555555555554</v>
      </c>
      <c r="Q19" s="146">
        <f t="shared" si="4"/>
        <v>42508</v>
      </c>
      <c r="R19" s="200">
        <v>0.04</v>
      </c>
      <c r="S19" s="163"/>
    </row>
    <row r="20" spans="1:19" s="186" customFormat="1" ht="17.25" customHeight="1">
      <c r="A20" s="180">
        <f t="shared" si="5"/>
        <v>5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1"/>
        <v>88000</v>
      </c>
      <c r="M20" s="158"/>
      <c r="N20" s="158"/>
      <c r="O20" s="158">
        <f t="shared" si="2"/>
        <v>0</v>
      </c>
      <c r="P20" s="158">
        <f t="shared" si="3"/>
        <v>303.11111111111109</v>
      </c>
      <c r="Q20" s="146">
        <f t="shared" si="4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5"/>
        <v>6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1"/>
        <v>97000</v>
      </c>
      <c r="M21" s="158"/>
      <c r="N21" s="158"/>
      <c r="O21" s="158">
        <f t="shared" si="2"/>
        <v>0</v>
      </c>
      <c r="P21" s="158">
        <f t="shared" si="3"/>
        <v>334.11111111111109</v>
      </c>
      <c r="Q21" s="146">
        <f t="shared" si="4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5"/>
        <v>7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1"/>
        <v>82000</v>
      </c>
      <c r="M22" s="158"/>
      <c r="N22" s="158"/>
      <c r="O22" s="158">
        <f t="shared" si="2"/>
        <v>0</v>
      </c>
      <c r="P22" s="158">
        <f t="shared" si="3"/>
        <v>282.44444444444446</v>
      </c>
      <c r="Q22" s="146">
        <f t="shared" si="4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5"/>
        <v>8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1"/>
        <v>90000</v>
      </c>
      <c r="M23" s="202"/>
      <c r="N23" s="202"/>
      <c r="O23" s="158">
        <f t="shared" si="2"/>
        <v>0</v>
      </c>
      <c r="P23" s="158">
        <f t="shared" si="3"/>
        <v>310</v>
      </c>
      <c r="Q23" s="146">
        <f t="shared" si="4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2" t="s">
        <v>288</v>
      </c>
      <c r="B25" s="272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ROW()-25</f>
        <v>1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ROW()-25</f>
        <v>2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3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4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5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6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7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8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9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10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11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12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13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14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15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2" t="s">
        <v>326</v>
      </c>
      <c r="B43" s="272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5" t="s">
        <v>264</v>
      </c>
      <c r="B2" s="275" t="s">
        <v>265</v>
      </c>
      <c r="C2" s="277" t="s">
        <v>266</v>
      </c>
      <c r="D2" s="277"/>
      <c r="E2" s="278" t="s">
        <v>267</v>
      </c>
      <c r="F2" s="278"/>
      <c r="G2" s="278"/>
      <c r="H2" s="279" t="s">
        <v>268</v>
      </c>
      <c r="I2" s="279"/>
      <c r="J2" s="279"/>
      <c r="K2" s="280" t="s">
        <v>269</v>
      </c>
      <c r="L2" s="280"/>
      <c r="M2" s="273" t="s">
        <v>270</v>
      </c>
      <c r="N2" s="273"/>
      <c r="O2" s="273"/>
      <c r="P2" s="273"/>
      <c r="Q2" s="273"/>
      <c r="R2" s="274" t="s">
        <v>271</v>
      </c>
      <c r="S2" s="275" t="s">
        <v>272</v>
      </c>
    </row>
    <row r="3" spans="1:20" s="134" customFormat="1" ht="33" customHeight="1">
      <c r="A3" s="275"/>
      <c r="B3" s="275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4"/>
      <c r="S3" s="275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76" t="s">
        <v>288</v>
      </c>
      <c r="B9" s="276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76" t="s">
        <v>296</v>
      </c>
      <c r="B15" s="276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 t="shared" ref="A16:A23" si="1">ROW()-16</f>
        <v>0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2">F16-J16</f>
        <v>89500</v>
      </c>
      <c r="M16" s="158"/>
      <c r="N16" s="158"/>
      <c r="O16" s="158">
        <f t="shared" ref="O16:O23" si="3">IF((LEFT(B16,4)="1402"),F16*R16*DATEDIF(Q16,O$1,"d")/360,0)</f>
        <v>0</v>
      </c>
      <c r="P16" s="158">
        <f t="shared" ref="P16:P23" si="4">IF((LEFT(B16,4)="1015"),F16*R16*DATEDIF(Q16,Q$1,"d")/360,0)</f>
        <v>308.27777777777777</v>
      </c>
      <c r="Q16" s="146">
        <f t="shared" ref="Q16:Q23" si="5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si="1"/>
        <v>1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2"/>
        <v>89000</v>
      </c>
      <c r="M17" s="158"/>
      <c r="N17" s="158"/>
      <c r="O17" s="158">
        <f t="shared" si="3"/>
        <v>0</v>
      </c>
      <c r="P17" s="158">
        <f t="shared" si="4"/>
        <v>306.55555555555554</v>
      </c>
      <c r="Q17" s="146">
        <f t="shared" si="5"/>
        <v>42508</v>
      </c>
      <c r="R17" s="200">
        <v>0.04</v>
      </c>
      <c r="S17" s="163"/>
    </row>
    <row r="18" spans="1:19" s="154" customFormat="1" ht="17.25" customHeight="1">
      <c r="A18" s="180">
        <f t="shared" si="1"/>
        <v>2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2"/>
        <v>61000</v>
      </c>
      <c r="M18" s="158"/>
      <c r="N18" s="158"/>
      <c r="O18" s="158">
        <f t="shared" si="3"/>
        <v>0</v>
      </c>
      <c r="P18" s="158">
        <f t="shared" si="4"/>
        <v>210.11111111111111</v>
      </c>
      <c r="Q18" s="146">
        <f t="shared" si="5"/>
        <v>42508</v>
      </c>
      <c r="R18" s="200">
        <v>0.04</v>
      </c>
      <c r="S18" s="163"/>
    </row>
    <row r="19" spans="1:19" s="154" customFormat="1" ht="17.25" customHeight="1">
      <c r="A19" s="180">
        <f t="shared" si="1"/>
        <v>3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2"/>
        <v>89000</v>
      </c>
      <c r="M19" s="158"/>
      <c r="N19" s="158"/>
      <c r="O19" s="158">
        <f t="shared" si="3"/>
        <v>0</v>
      </c>
      <c r="P19" s="158">
        <f t="shared" si="4"/>
        <v>306.55555555555554</v>
      </c>
      <c r="Q19" s="146">
        <f t="shared" si="5"/>
        <v>42508</v>
      </c>
      <c r="R19" s="200">
        <v>0.04</v>
      </c>
      <c r="S19" s="163"/>
    </row>
    <row r="20" spans="1:19" s="186" customFormat="1" ht="17.25" customHeight="1">
      <c r="A20" s="180">
        <f t="shared" si="1"/>
        <v>4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2"/>
        <v>88000</v>
      </c>
      <c r="M20" s="158"/>
      <c r="N20" s="158"/>
      <c r="O20" s="158">
        <f t="shared" si="3"/>
        <v>0</v>
      </c>
      <c r="P20" s="158">
        <f t="shared" si="4"/>
        <v>303.11111111111109</v>
      </c>
      <c r="Q20" s="146">
        <f t="shared" si="5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1"/>
        <v>5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2"/>
        <v>97000</v>
      </c>
      <c r="M21" s="158"/>
      <c r="N21" s="158"/>
      <c r="O21" s="158">
        <f t="shared" si="3"/>
        <v>0</v>
      </c>
      <c r="P21" s="158">
        <f t="shared" si="4"/>
        <v>334.11111111111109</v>
      </c>
      <c r="Q21" s="146">
        <f t="shared" si="5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1"/>
        <v>6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2"/>
        <v>82000</v>
      </c>
      <c r="M22" s="158"/>
      <c r="N22" s="158"/>
      <c r="O22" s="158">
        <f t="shared" si="3"/>
        <v>0</v>
      </c>
      <c r="P22" s="158">
        <f t="shared" si="4"/>
        <v>282.44444444444446</v>
      </c>
      <c r="Q22" s="146">
        <f t="shared" si="5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1"/>
        <v>7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2"/>
        <v>90000</v>
      </c>
      <c r="M23" s="202"/>
      <c r="N23" s="202"/>
      <c r="O23" s="158">
        <f t="shared" si="3"/>
        <v>0</v>
      </c>
      <c r="P23" s="158">
        <f t="shared" si="4"/>
        <v>310</v>
      </c>
      <c r="Q23" s="146">
        <f t="shared" si="5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2" t="s">
        <v>288</v>
      </c>
      <c r="B25" s="272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ROW()-26</f>
        <v>0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ROW()-26</f>
        <v>1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2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3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4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5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6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2" t="s">
        <v>326</v>
      </c>
      <c r="B43" s="272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10-16</vt:lpstr>
      <vt:lpstr>11-16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  <vt:lpstr>'10-16'!Print_Titles</vt:lpstr>
      <vt:lpstr>'11-16'!Print_Titles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2016-11-30T03:50:51Z</cp:lastPrinted>
  <dcterms:created xsi:type="dcterms:W3CDTF">2016-07-02T08:51:17Z</dcterms:created>
  <dcterms:modified xsi:type="dcterms:W3CDTF">2016-11-30T03:55:49Z</dcterms:modified>
</cp:coreProperties>
</file>